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N:\Thema-Omgeving\Prog-Duurzaamheid\020_Wonen (warmtetransitie)\300_Duurzame wijk\010 Wijken\DW Driebergen Wildbaan-Dennenburg\Activiteiten\240320_inwonersbijeenkomst-isolatie\Warmtebehoefte\"/>
    </mc:Choice>
  </mc:AlternateContent>
  <xr:revisionPtr revIDLastSave="0" documentId="13_ncr:1_{78269D1A-60DE-4997-9781-0D5AD6183064}" xr6:coauthVersionLast="47" xr6:coauthVersionMax="47" xr10:uidLastSave="{00000000-0000-0000-0000-000000000000}"/>
  <workbookProtection workbookAlgorithmName="SHA-512" workbookHashValue="TjQJ1lT5iBzxfxeo6RtL+u7u6OZzYONWmeBNDzryHI78MphYfhNLvWSXJydqRAG000QWlcfgHkRmTRSPOcwLig==" workbookSaltValue="07Gr9JEA9xrEowC/rD8dMg==" workbookSpinCount="100000" lockStructure="1"/>
  <bookViews>
    <workbookView xWindow="-120" yWindow="-120" windowWidth="29040" windowHeight="15225" firstSheet="1" activeTab="2" xr2:uid="{CE3EA7B6-AB03-426D-9EF1-FDE197218743}"/>
  </bookViews>
  <sheets>
    <sheet name="Uitgangspunten" sheetId="4" r:id="rId1"/>
    <sheet name="Rekenhulp" sheetId="6" r:id="rId2"/>
    <sheet name="Invoer - Damhertlaan" sheetId="2" r:id="rId3"/>
    <sheet name="Uitvoer - Damhertlaan" sheetId="3" r:id="rId4"/>
    <sheet name="Invoer - Vossenkamp" sheetId="7" r:id="rId5"/>
    <sheet name="Uitvoer - Vossenkamp" sheetId="8" r:id="rId6"/>
    <sheet name="Invoer - Uw woning" sheetId="9" r:id="rId7"/>
    <sheet name="Uitvoer - Uw woning" sheetId="10" r:id="rId8"/>
    <sheet name="Lijsten" sheetId="5" state="very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7" l="1"/>
  <c r="K71" i="7"/>
  <c r="K70" i="7"/>
  <c r="K69" i="7"/>
  <c r="K68" i="7"/>
  <c r="K67" i="7"/>
  <c r="K66" i="7"/>
  <c r="K65" i="7"/>
  <c r="K64" i="7"/>
  <c r="K63" i="7"/>
  <c r="K72" i="7"/>
  <c r="K72" i="2"/>
  <c r="K71" i="2"/>
  <c r="K70" i="2"/>
  <c r="K69" i="2"/>
  <c r="K68" i="2"/>
  <c r="K67" i="2"/>
  <c r="K63" i="2"/>
  <c r="K64" i="2"/>
  <c r="K65" i="2"/>
  <c r="K66" i="2"/>
  <c r="K62" i="2"/>
  <c r="B31" i="10"/>
  <c r="B28" i="10"/>
  <c r="H25" i="10"/>
  <c r="F25" i="10"/>
  <c r="E25" i="10"/>
  <c r="C25" i="10"/>
  <c r="B25" i="10"/>
  <c r="F14" i="10"/>
  <c r="E14" i="10"/>
  <c r="H14" i="10"/>
  <c r="I14" i="10"/>
  <c r="B14" i="10"/>
  <c r="C14" i="10"/>
  <c r="B25" i="9"/>
  <c r="B24" i="9"/>
  <c r="B93" i="9"/>
  <c r="H24" i="10"/>
  <c r="I24" i="10" s="1"/>
  <c r="F24" i="10"/>
  <c r="E24" i="10"/>
  <c r="C24" i="10"/>
  <c r="B24" i="10"/>
  <c r="H23" i="10"/>
  <c r="I23" i="10" s="1"/>
  <c r="F23" i="10"/>
  <c r="E23" i="10"/>
  <c r="C23" i="10"/>
  <c r="B23" i="10"/>
  <c r="H22" i="10"/>
  <c r="I22" i="10" s="1"/>
  <c r="F22" i="10"/>
  <c r="E22" i="10"/>
  <c r="C22" i="10"/>
  <c r="B22" i="10"/>
  <c r="H19" i="10"/>
  <c r="I19" i="10" s="1"/>
  <c r="F19" i="10"/>
  <c r="E19" i="10"/>
  <c r="C19" i="10"/>
  <c r="B19" i="10"/>
  <c r="H18" i="10"/>
  <c r="I18" i="10" s="1"/>
  <c r="F18" i="10"/>
  <c r="E18" i="10"/>
  <c r="C18" i="10"/>
  <c r="B18" i="10"/>
  <c r="H17" i="10"/>
  <c r="I17" i="10" s="1"/>
  <c r="F17" i="10"/>
  <c r="E17" i="10"/>
  <c r="C17" i="10"/>
  <c r="B17" i="10"/>
  <c r="H16" i="10"/>
  <c r="I16" i="10" s="1"/>
  <c r="F16" i="10"/>
  <c r="E16" i="10"/>
  <c r="C16" i="10"/>
  <c r="B16" i="10"/>
  <c r="I25" i="10"/>
  <c r="B30" i="10"/>
  <c r="B29" i="10"/>
  <c r="B51" i="7"/>
  <c r="B50" i="7"/>
  <c r="B47" i="7"/>
  <c r="B45" i="7"/>
  <c r="H15" i="10" l="1"/>
  <c r="I15" i="10" s="1"/>
  <c r="F15" i="10"/>
  <c r="E15" i="10"/>
  <c r="C15" i="10"/>
  <c r="B15" i="10"/>
  <c r="H20" i="10"/>
  <c r="I20" i="10" s="1"/>
  <c r="F20" i="10"/>
  <c r="E20" i="10"/>
  <c r="C20" i="10"/>
  <c r="B20" i="10"/>
  <c r="H21" i="10"/>
  <c r="I21" i="10" s="1"/>
  <c r="F21" i="10"/>
  <c r="E21" i="10"/>
  <c r="C21" i="10"/>
  <c r="B21" i="10"/>
  <c r="B26" i="10"/>
  <c r="C26" i="10"/>
  <c r="I26" i="10"/>
  <c r="H26" i="10"/>
  <c r="E26" i="10"/>
  <c r="F26" i="10"/>
  <c r="B28" i="8" l="1"/>
  <c r="C25" i="8"/>
  <c r="B25" i="8"/>
  <c r="H24" i="8"/>
  <c r="I24" i="8" s="1"/>
  <c r="F24" i="8"/>
  <c r="E24" i="8"/>
  <c r="C24" i="8"/>
  <c r="B24" i="8"/>
  <c r="H23" i="8"/>
  <c r="I23" i="8" s="1"/>
  <c r="F23" i="8"/>
  <c r="E23" i="8"/>
  <c r="C23" i="8"/>
  <c r="B23" i="8"/>
  <c r="H22" i="8"/>
  <c r="I22" i="8" s="1"/>
  <c r="F22" i="8"/>
  <c r="E22" i="8"/>
  <c r="C22" i="8"/>
  <c r="B22" i="8"/>
  <c r="H19" i="8"/>
  <c r="I19" i="8" s="1"/>
  <c r="F19" i="8"/>
  <c r="E19" i="8"/>
  <c r="C19" i="8"/>
  <c r="B19" i="8"/>
  <c r="H18" i="8"/>
  <c r="I18" i="8" s="1"/>
  <c r="F18" i="8"/>
  <c r="E18" i="8"/>
  <c r="C18" i="8"/>
  <c r="B18" i="8"/>
  <c r="H17" i="8"/>
  <c r="I17" i="8" s="1"/>
  <c r="F17" i="8"/>
  <c r="E17" i="8"/>
  <c r="C17" i="8"/>
  <c r="B17" i="8"/>
  <c r="H16" i="8"/>
  <c r="I16" i="8" s="1"/>
  <c r="F16" i="8"/>
  <c r="E16" i="8"/>
  <c r="C16" i="8"/>
  <c r="B16" i="8"/>
  <c r="F14" i="8"/>
  <c r="E14" i="8"/>
  <c r="C14" i="8"/>
  <c r="B14" i="8"/>
  <c r="B93" i="7"/>
  <c r="H25" i="8" s="1"/>
  <c r="I25" i="8" s="1"/>
  <c r="B25" i="7"/>
  <c r="B30" i="8" s="1"/>
  <c r="B24" i="7"/>
  <c r="B29" i="8" s="1"/>
  <c r="E23" i="3"/>
  <c r="F23" i="3"/>
  <c r="E24" i="3"/>
  <c r="F24" i="3"/>
  <c r="F22" i="3"/>
  <c r="E22" i="3"/>
  <c r="F21" i="3"/>
  <c r="E21" i="3"/>
  <c r="F20" i="3"/>
  <c r="E20" i="3"/>
  <c r="F19" i="3"/>
  <c r="E19" i="3"/>
  <c r="F18" i="3"/>
  <c r="E18" i="3"/>
  <c r="F17" i="3"/>
  <c r="E17" i="3"/>
  <c r="F16" i="3"/>
  <c r="E16" i="3"/>
  <c r="F15" i="3"/>
  <c r="E15" i="3"/>
  <c r="F14" i="3"/>
  <c r="E14" i="3"/>
  <c r="B23" i="3"/>
  <c r="C23" i="3"/>
  <c r="B24" i="3"/>
  <c r="C24" i="3"/>
  <c r="C22" i="3"/>
  <c r="B22" i="3"/>
  <c r="C21" i="3"/>
  <c r="B21" i="3"/>
  <c r="C20" i="3"/>
  <c r="B20" i="3"/>
  <c r="C19" i="3"/>
  <c r="B19" i="3"/>
  <c r="C18" i="3"/>
  <c r="B18" i="3"/>
  <c r="C17" i="3"/>
  <c r="B17" i="3"/>
  <c r="C16" i="3"/>
  <c r="B16" i="3"/>
  <c r="C15" i="3"/>
  <c r="B15" i="3"/>
  <c r="D33" i="6"/>
  <c r="D34" i="6"/>
  <c r="D35" i="6"/>
  <c r="D36" i="6"/>
  <c r="D37" i="6"/>
  <c r="D38" i="6"/>
  <c r="D39" i="6"/>
  <c r="D40" i="6"/>
  <c r="D41" i="6"/>
  <c r="D32" i="6"/>
  <c r="C42" i="6" s="1"/>
  <c r="D11" i="6"/>
  <c r="D12" i="6"/>
  <c r="D13" i="6"/>
  <c r="D14" i="6"/>
  <c r="D15" i="6"/>
  <c r="D16" i="6"/>
  <c r="D17" i="6"/>
  <c r="D18" i="6"/>
  <c r="D19" i="6"/>
  <c r="D10" i="6"/>
  <c r="C20" i="6" s="1"/>
  <c r="C43" i="4"/>
  <c r="B43" i="4"/>
  <c r="C36" i="4"/>
  <c r="B36" i="4"/>
  <c r="B93" i="2"/>
  <c r="H25" i="3"/>
  <c r="I25" i="3"/>
  <c r="C25" i="3"/>
  <c r="B25" i="3"/>
  <c r="B28" i="3"/>
  <c r="H22" i="3"/>
  <c r="I22" i="3" s="1"/>
  <c r="H23" i="3"/>
  <c r="I23" i="3" s="1"/>
  <c r="H24" i="3"/>
  <c r="I24" i="3" s="1"/>
  <c r="B52" i="2"/>
  <c r="H16" i="3"/>
  <c r="I16" i="3" s="1"/>
  <c r="H19" i="3"/>
  <c r="I19" i="3" s="1"/>
  <c r="H17" i="3"/>
  <c r="I17" i="3" s="1"/>
  <c r="H18" i="3"/>
  <c r="I18" i="3" s="1"/>
  <c r="C14" i="3"/>
  <c r="B14" i="3"/>
  <c r="B24" i="2"/>
  <c r="B29" i="3" s="1"/>
  <c r="B25" i="2"/>
  <c r="B30" i="3" s="1"/>
  <c r="B51" i="2"/>
  <c r="B50" i="2"/>
  <c r="B45" i="2"/>
  <c r="H15" i="8" l="1"/>
  <c r="I15" i="8" s="1"/>
  <c r="F15" i="8"/>
  <c r="E15" i="8"/>
  <c r="C15" i="8"/>
  <c r="B15" i="8"/>
  <c r="H20" i="8"/>
  <c r="I20" i="8" s="1"/>
  <c r="F20" i="8"/>
  <c r="E20" i="8"/>
  <c r="C20" i="8"/>
  <c r="B20" i="8"/>
  <c r="H21" i="8"/>
  <c r="I21" i="8" s="1"/>
  <c r="F21" i="8"/>
  <c r="E21" i="8"/>
  <c r="C21" i="8"/>
  <c r="B21" i="8"/>
  <c r="B26" i="8"/>
  <c r="C26" i="8"/>
  <c r="I14" i="8"/>
  <c r="I26" i="8" s="1"/>
  <c r="H14" i="8"/>
  <c r="H26" i="8" s="1"/>
  <c r="E26" i="8"/>
  <c r="F26" i="8"/>
  <c r="B31" i="8"/>
  <c r="B26" i="3"/>
  <c r="C26" i="3"/>
  <c r="I14" i="3"/>
  <c r="H14" i="3"/>
  <c r="H15" i="3"/>
  <c r="I15" i="3" s="1"/>
  <c r="H20" i="3"/>
  <c r="I20" i="3" s="1"/>
  <c r="H21" i="3"/>
  <c r="I21" i="3" s="1"/>
  <c r="H26" i="3" l="1"/>
  <c r="B31" i="3" s="1"/>
  <c r="I26" i="3"/>
  <c r="E26" i="3"/>
  <c r="F26" i="3"/>
</calcChain>
</file>

<file path=xl/sharedStrings.xml><?xml version="1.0" encoding="utf-8"?>
<sst xmlns="http://schemas.openxmlformats.org/spreadsheetml/2006/main" count="418" uniqueCount="92">
  <si>
    <t>dagen</t>
  </si>
  <si>
    <t>K*dagen</t>
  </si>
  <si>
    <t>Graaddagen</t>
  </si>
  <si>
    <t>m2</t>
  </si>
  <si>
    <t>W/m2K</t>
  </si>
  <si>
    <t>Tussenwoning</t>
  </si>
  <si>
    <t>Totaal</t>
  </si>
  <si>
    <t>Adres</t>
  </si>
  <si>
    <t>Damhertlaan</t>
  </si>
  <si>
    <t>Bouwjaar</t>
  </si>
  <si>
    <t>Compactheid</t>
  </si>
  <si>
    <t>Vloeroppervlakte</t>
  </si>
  <si>
    <t>Type woning</t>
  </si>
  <si>
    <t>Fossiel verbruik</t>
  </si>
  <si>
    <t>kWh/m2/jaar</t>
  </si>
  <si>
    <t>Warmtebehoefte</t>
  </si>
  <si>
    <t>Gevels</t>
  </si>
  <si>
    <t>Woningkenmerken</t>
  </si>
  <si>
    <t>Energiebehoefte</t>
  </si>
  <si>
    <t>Oppervlakte bouwdelen</t>
  </si>
  <si>
    <t>Isolatiewaarde bouwdelen</t>
  </si>
  <si>
    <t>Rc-waarde Gevels</t>
  </si>
  <si>
    <t>m2K/W</t>
  </si>
  <si>
    <t>U-waarde Gevelpanelen</t>
  </si>
  <si>
    <t>Gevelpanelen</t>
  </si>
  <si>
    <t>Daken hellend</t>
  </si>
  <si>
    <t>Daken plat</t>
  </si>
  <si>
    <t>Rc-waarde Daken hellend</t>
  </si>
  <si>
    <t>Rc-waarde Daken plat</t>
  </si>
  <si>
    <t>Vloeren</t>
  </si>
  <si>
    <t>Rc-waarde Vloeren</t>
  </si>
  <si>
    <t>Ramen Bovenverdieping</t>
  </si>
  <si>
    <t>Ramen Begane grond</t>
  </si>
  <si>
    <t>U-waarde Ramen Begane grond</t>
  </si>
  <si>
    <t>U-waarde Ramen Bovenverdieping</t>
  </si>
  <si>
    <t>Buitendeuren</t>
  </si>
  <si>
    <t>Huidig</t>
  </si>
  <si>
    <t xml:space="preserve">Wat kost het? </t>
  </si>
  <si>
    <t>Minimaal</t>
  </si>
  <si>
    <t>Maximaal</t>
  </si>
  <si>
    <t>Wat levert het op?</t>
  </si>
  <si>
    <t>Streefwaarden Isolatiestandaard</t>
  </si>
  <si>
    <t>Kierdichting</t>
  </si>
  <si>
    <t>Zijn kieren en naden gedicht?</t>
  </si>
  <si>
    <t>Streefwaarde warmtebehoefte HT</t>
  </si>
  <si>
    <t>Streefwaarde warmtebehoefte LT</t>
  </si>
  <si>
    <t>Nee</t>
  </si>
  <si>
    <t>Onbekend</t>
  </si>
  <si>
    <t>Kosten</t>
  </si>
  <si>
    <t>Eenheid</t>
  </si>
  <si>
    <t>Per woning</t>
  </si>
  <si>
    <t>Subsidie</t>
  </si>
  <si>
    <t>Per m2</t>
  </si>
  <si>
    <t>Periode graaddagen</t>
  </si>
  <si>
    <t>Vermindering warmtebehoefte (kWh/m2/jaar)</t>
  </si>
  <si>
    <t>Gevels (spouwmuur)</t>
  </si>
  <si>
    <t>Overig</t>
  </si>
  <si>
    <t>Kozijnen meevervangen met ramen?</t>
  </si>
  <si>
    <t>Kozijnen vervangen</t>
  </si>
  <si>
    <t>Per stuk</t>
  </si>
  <si>
    <t>Buitendeur 1</t>
  </si>
  <si>
    <t>Buitendeur 2</t>
  </si>
  <si>
    <t>Buitendeur 3</t>
  </si>
  <si>
    <t>U-waarde Buitendeur 1</t>
  </si>
  <si>
    <t>U-waarde Buitendeur 2</t>
  </si>
  <si>
    <t>U-waarde Buitendeur 3</t>
  </si>
  <si>
    <t>Huidige warmtebehoefte woning</t>
  </si>
  <si>
    <t>Theoretische nieuwe warmtebehoefte</t>
  </si>
  <si>
    <t>Streefwaarde HT</t>
  </si>
  <si>
    <t>Streefwaarde LT</t>
  </si>
  <si>
    <t>Ventilatie</t>
  </si>
  <si>
    <t>Ventilatie (Begane grond)</t>
  </si>
  <si>
    <t>% warmteverlies door ventilatie</t>
  </si>
  <si>
    <t>Subsidie
(als voldaan aan voorwaarden)</t>
  </si>
  <si>
    <t>Rendement warmteterugwinning ventilatie</t>
  </si>
  <si>
    <t>% woning voorzien van wtw ventilatie?</t>
  </si>
  <si>
    <t>Verwacht/gewenst</t>
  </si>
  <si>
    <t>Hoekwoning</t>
  </si>
  <si>
    <t>Appartement</t>
  </si>
  <si>
    <t>Vrijstaande woning</t>
  </si>
  <si>
    <t>Twee-onder-een-kap</t>
  </si>
  <si>
    <t>Ja</t>
  </si>
  <si>
    <t>Maatregel</t>
  </si>
  <si>
    <t>Onderdeel</t>
  </si>
  <si>
    <t>Oppervlakte (m2)</t>
  </si>
  <si>
    <t>Isolatiewaarde (Rc-waarde)</t>
  </si>
  <si>
    <t>Gewogen gemiddelde:</t>
  </si>
  <si>
    <t>Gewogen gemiddelde isolatiewaarde o.b.v. Rc-waarde</t>
  </si>
  <si>
    <t>Isolatiewaarde (U-waarde)</t>
  </si>
  <si>
    <t>Gewogen gemiddelde isolatiewaarde o.b.v. U-waarde</t>
  </si>
  <si>
    <t>Theoretisch vermindering gasverbruik (m3/jaar)</t>
  </si>
  <si>
    <t>Vossenkamp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</si>
</sst>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0.0%"/>
  </numFmts>
  <fonts count="8"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8"/>
      <color theme="1"/>
      <name val="Calibri"/>
      <family val="2"/>
      <scheme val="minor"/>
    </font>
    <font>
      <sz val="11"/>
      <color theme="9" tint="0.79998168889431442"/>
      <name val="Calibri"/>
      <family val="2"/>
      <scheme val="minor"/>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theme="0" tint="-0.24994659260841701"/>
      </left>
      <right style="thin">
        <color theme="0" tint="-0.14996795556505021"/>
      </right>
      <top style="thick">
        <color theme="0" tint="-0.24994659260841701"/>
      </top>
      <bottom style="thick">
        <color theme="0" tint="-0.24994659260841701"/>
      </bottom>
      <diagonal/>
    </border>
    <border>
      <left style="thin">
        <color theme="0" tint="-0.14996795556505021"/>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14996795556505021"/>
      </right>
      <top style="thick">
        <color theme="0" tint="-0.24994659260841701"/>
      </top>
      <bottom style="thin">
        <color theme="0" tint="-0.14996795556505021"/>
      </bottom>
      <diagonal/>
    </border>
    <border>
      <left style="thin">
        <color theme="0" tint="-0.14996795556505021"/>
      </left>
      <right style="thin">
        <color theme="0" tint="-0.14996795556505021"/>
      </right>
      <top style="thick">
        <color theme="0" tint="-0.24994659260841701"/>
      </top>
      <bottom style="thin">
        <color theme="0" tint="-0.14996795556505021"/>
      </bottom>
      <diagonal/>
    </border>
    <border>
      <left style="thin">
        <color theme="0" tint="-0.14996795556505021"/>
      </left>
      <right style="thick">
        <color theme="0" tint="-0.24994659260841701"/>
      </right>
      <top style="thick">
        <color theme="0" tint="-0.24994659260841701"/>
      </top>
      <bottom style="thin">
        <color theme="0" tint="-0.14996795556505021"/>
      </bottom>
      <diagonal/>
    </border>
    <border>
      <left style="thick">
        <color theme="0"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24994659260841701"/>
      </right>
      <top style="thin">
        <color theme="0" tint="-0.14996795556505021"/>
      </top>
      <bottom style="thin">
        <color theme="0" tint="-0.14996795556505021"/>
      </bottom>
      <diagonal/>
    </border>
    <border>
      <left style="thick">
        <color theme="0" tint="-0.24994659260841701"/>
      </left>
      <right style="thin">
        <color theme="0" tint="-0.14996795556505021"/>
      </right>
      <top style="thin">
        <color theme="0" tint="-0.14996795556505021"/>
      </top>
      <bottom/>
      <diagonal/>
    </border>
    <border>
      <left style="thin">
        <color theme="0" tint="-0.14996795556505021"/>
      </left>
      <right style="thick">
        <color theme="0" tint="-0.24994659260841701"/>
      </right>
      <top style="thin">
        <color theme="0" tint="-0.14996795556505021"/>
      </top>
      <bottom/>
      <diagonal/>
    </border>
    <border>
      <left style="thick">
        <color theme="0" tint="-0.24994659260841701"/>
      </left>
      <right/>
      <top style="thick">
        <color theme="0" tint="-0.24994659260841701"/>
      </top>
      <bottom style="thin">
        <color theme="0" tint="-0.14996795556505021"/>
      </bottom>
      <diagonal/>
    </border>
    <border>
      <left style="thick">
        <color theme="0" tint="-0.24994659260841701"/>
      </left>
      <right/>
      <top style="thin">
        <color theme="0" tint="-0.14996795556505021"/>
      </top>
      <bottom style="thin">
        <color theme="0" tint="-0.14996795556505021"/>
      </bottom>
      <diagonal/>
    </border>
    <border>
      <left style="thick">
        <color theme="0" tint="-0.24994659260841701"/>
      </left>
      <right/>
      <top style="thin">
        <color theme="0" tint="-0.14996795556505021"/>
      </top>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14996795556505021"/>
      </right>
      <top style="thin">
        <color theme="0" tint="-0.14996795556505021"/>
      </top>
      <bottom style="thick">
        <color theme="0" tint="-0.24994659260841701"/>
      </bottom>
      <diagonal/>
    </border>
    <border>
      <left style="thin">
        <color theme="0" tint="-0.14996795556505021"/>
      </left>
      <right style="thin">
        <color theme="0" tint="-0.14996795556505021"/>
      </right>
      <top style="thin">
        <color theme="0" tint="-0.14996795556505021"/>
      </top>
      <bottom style="thick">
        <color theme="0" tint="-0.24994659260841701"/>
      </bottom>
      <diagonal/>
    </border>
    <border>
      <left style="thin">
        <color theme="0" tint="-0.14996795556505021"/>
      </left>
      <right style="thick">
        <color theme="0" tint="-0.24994659260841701"/>
      </right>
      <top style="thin">
        <color theme="0" tint="-0.14996795556505021"/>
      </top>
      <bottom style="thick">
        <color theme="0" tint="-0.24994659260841701"/>
      </bottom>
      <diagonal/>
    </border>
    <border>
      <left style="thick">
        <color theme="0" tint="-0.24994659260841701"/>
      </left>
      <right/>
      <top/>
      <bottom style="thin">
        <color theme="0" tint="-0.14996795556505021"/>
      </bottom>
      <diagonal/>
    </border>
    <border>
      <left style="thick">
        <color theme="0" tint="-0.24994659260841701"/>
      </left>
      <right style="thin">
        <color theme="0" tint="-0.14996795556505021"/>
      </right>
      <top/>
      <bottom style="thin">
        <color theme="0" tint="-0.14996795556505021"/>
      </bottom>
      <diagonal/>
    </border>
    <border>
      <left style="thin">
        <color theme="0" tint="-0.14996795556505021"/>
      </left>
      <right style="thick">
        <color theme="0" tint="-0.24994659260841701"/>
      </right>
      <top/>
      <bottom style="thin">
        <color theme="0" tint="-0.14996795556505021"/>
      </bottom>
      <diagonal/>
    </border>
    <border>
      <left/>
      <right/>
      <top/>
      <bottom style="thin">
        <color theme="0" tint="-0.14996795556505021"/>
      </bottom>
      <diagonal/>
    </border>
    <border>
      <left style="thick">
        <color theme="0" tint="-0.24994659260841701"/>
      </left>
      <right/>
      <top style="thin">
        <color theme="0" tint="-0.14996795556505021"/>
      </top>
      <bottom style="thick">
        <color theme="0" tint="-0.24994659260841701"/>
      </bottom>
      <diagonal/>
    </border>
    <border>
      <left/>
      <right/>
      <top style="thin">
        <color theme="0" tint="-0.14996795556505021"/>
      </top>
      <bottom style="thick">
        <color theme="0" tint="-0.24994659260841701"/>
      </bottom>
      <diagonal/>
    </border>
  </borders>
  <cellStyleXfs count="2">
    <xf numFmtId="0" fontId="0" fillId="0" borderId="0"/>
    <xf numFmtId="9" fontId="3" fillId="0" borderId="0" applyFont="0" applyFill="0" applyBorder="0" applyAlignment="0" applyProtection="0"/>
  </cellStyleXfs>
  <cellXfs count="88">
    <xf numFmtId="0" fontId="0" fillId="0" borderId="0" xfId="0"/>
    <xf numFmtId="0" fontId="1" fillId="3" borderId="0" xfId="0" applyFont="1" applyFill="1"/>
    <xf numFmtId="0" fontId="0" fillId="3" borderId="0" xfId="0" applyFill="1" applyAlignment="1">
      <alignment horizontal="left"/>
    </xf>
    <xf numFmtId="0" fontId="0" fillId="3" borderId="0" xfId="0" applyFill="1"/>
    <xf numFmtId="0" fontId="0" fillId="3" borderId="0" xfId="0" applyFont="1" applyFill="1"/>
    <xf numFmtId="0" fontId="1" fillId="3" borderId="0" xfId="0" applyFont="1" applyFill="1" applyAlignment="1">
      <alignment horizontal="left"/>
    </xf>
    <xf numFmtId="2" fontId="0" fillId="3" borderId="0" xfId="0" applyNumberFormat="1" applyFill="1"/>
    <xf numFmtId="0" fontId="0" fillId="3" borderId="0" xfId="0" applyFill="1" applyProtection="1">
      <protection hidden="1"/>
    </xf>
    <xf numFmtId="0" fontId="1" fillId="3" borderId="0" xfId="0" applyFont="1" applyFill="1" applyProtection="1">
      <protection hidden="1"/>
    </xf>
    <xf numFmtId="0" fontId="0" fillId="3" borderId="0" xfId="0" applyFont="1" applyFill="1" applyProtection="1">
      <protection hidden="1"/>
    </xf>
    <xf numFmtId="0" fontId="0" fillId="3" borderId="0" xfId="0" applyFill="1" applyAlignment="1" applyProtection="1">
      <alignment horizontal="left"/>
      <protection hidden="1"/>
    </xf>
    <xf numFmtId="2" fontId="0" fillId="3" borderId="0" xfId="0" applyNumberFormat="1" applyFill="1" applyAlignment="1" applyProtection="1">
      <alignment horizontal="left"/>
      <protection hidden="1"/>
    </xf>
    <xf numFmtId="9" fontId="0" fillId="3" borderId="0" xfId="1" applyNumberFormat="1" applyFont="1" applyFill="1" applyAlignment="1" applyProtection="1">
      <alignment horizontal="left"/>
      <protection hidden="1"/>
    </xf>
    <xf numFmtId="0" fontId="1" fillId="3" borderId="0" xfId="0" applyFont="1" applyFill="1" applyAlignment="1" applyProtection="1">
      <alignment horizontal="left"/>
      <protection hidden="1"/>
    </xf>
    <xf numFmtId="164" fontId="0" fillId="3" borderId="0" xfId="0" applyNumberFormat="1" applyFill="1" applyProtection="1">
      <protection hidden="1"/>
    </xf>
    <xf numFmtId="164" fontId="0" fillId="3" borderId="0" xfId="0" applyNumberFormat="1" applyFill="1" applyAlignment="1" applyProtection="1">
      <alignment horizontal="center" vertical="center"/>
      <protection hidden="1"/>
    </xf>
    <xf numFmtId="1" fontId="0" fillId="2" borderId="0" xfId="0" applyNumberFormat="1" applyFill="1" applyAlignment="1" applyProtection="1">
      <alignment horizontal="left"/>
      <protection locked="0" hidden="1"/>
    </xf>
    <xf numFmtId="2" fontId="0" fillId="2" borderId="0" xfId="0" applyNumberFormat="1" applyFill="1" applyAlignment="1" applyProtection="1">
      <alignment horizontal="left"/>
      <protection locked="0" hidden="1"/>
    </xf>
    <xf numFmtId="166" fontId="0" fillId="2" borderId="0" xfId="1" applyNumberFormat="1" applyFont="1" applyFill="1" applyAlignment="1" applyProtection="1">
      <alignment horizontal="left"/>
      <protection locked="0" hidden="1"/>
    </xf>
    <xf numFmtId="9" fontId="0" fillId="2" borderId="0" xfId="1" applyNumberFormat="1" applyFont="1" applyFill="1" applyAlignment="1" applyProtection="1">
      <alignment horizontal="left"/>
      <protection locked="0" hidden="1"/>
    </xf>
    <xf numFmtId="164" fontId="0" fillId="2" borderId="0" xfId="0" applyNumberFormat="1" applyFill="1" applyAlignment="1" applyProtection="1">
      <alignment horizontal="center" vertical="center"/>
      <protection locked="0" hidden="1"/>
    </xf>
    <xf numFmtId="0" fontId="1" fillId="3" borderId="14" xfId="0" applyFont="1" applyFill="1" applyBorder="1"/>
    <xf numFmtId="0" fontId="5" fillId="3" borderId="0" xfId="0" applyFont="1" applyFill="1"/>
    <xf numFmtId="0" fontId="6" fillId="3" borderId="0" xfId="0" applyFont="1" applyFill="1"/>
    <xf numFmtId="0" fontId="1" fillId="3" borderId="18" xfId="0" applyFont="1" applyFill="1" applyBorder="1"/>
    <xf numFmtId="2" fontId="1" fillId="3" borderId="19" xfId="0" applyNumberFormat="1" applyFont="1" applyFill="1" applyBorder="1" applyAlignment="1">
      <alignment horizontal="left"/>
    </xf>
    <xf numFmtId="0" fontId="1" fillId="3" borderId="4" xfId="0" applyFont="1" applyFill="1" applyBorder="1"/>
    <xf numFmtId="0" fontId="1" fillId="3" borderId="5" xfId="0" applyFont="1" applyFill="1" applyBorder="1"/>
    <xf numFmtId="0" fontId="1" fillId="3" borderId="6" xfId="0" applyFont="1" applyFill="1" applyBorder="1"/>
    <xf numFmtId="0" fontId="0" fillId="3" borderId="7" xfId="0" applyFill="1" applyBorder="1" applyAlignment="1">
      <alignment horizontal="left"/>
    </xf>
    <xf numFmtId="0" fontId="0" fillId="3" borderId="20" xfId="0" applyFill="1" applyBorder="1" applyAlignment="1">
      <alignment horizontal="left"/>
    </xf>
    <xf numFmtId="0" fontId="7" fillId="3" borderId="0" xfId="0" applyFont="1" applyFill="1"/>
    <xf numFmtId="0" fontId="0" fillId="3" borderId="0" xfId="0" applyFill="1" applyProtection="1"/>
    <xf numFmtId="0" fontId="4" fillId="3" borderId="0" xfId="0" applyFont="1" applyFill="1" applyProtection="1"/>
    <xf numFmtId="0" fontId="0" fillId="3" borderId="11" xfId="0" applyFill="1" applyBorder="1" applyProtection="1"/>
    <xf numFmtId="0" fontId="0" fillId="3" borderId="15" xfId="0" applyFill="1" applyBorder="1" applyProtection="1"/>
    <xf numFmtId="0" fontId="1" fillId="3" borderId="27" xfId="0" applyFont="1" applyFill="1" applyBorder="1" applyProtection="1"/>
    <xf numFmtId="0" fontId="1" fillId="3" borderId="20" xfId="0" applyFont="1" applyFill="1" applyBorder="1" applyProtection="1"/>
    <xf numFmtId="0" fontId="1" fillId="3" borderId="22" xfId="0" applyFont="1" applyFill="1" applyBorder="1" applyProtection="1"/>
    <xf numFmtId="0" fontId="1" fillId="3" borderId="28" xfId="0" applyFont="1" applyFill="1" applyBorder="1" applyProtection="1"/>
    <xf numFmtId="0" fontId="1" fillId="3" borderId="20" xfId="0" applyFont="1" applyFill="1" applyBorder="1" applyAlignment="1" applyProtection="1">
      <alignment wrapText="1"/>
    </xf>
    <xf numFmtId="0" fontId="1" fillId="3" borderId="22" xfId="0" applyFont="1" applyFill="1" applyBorder="1" applyAlignment="1" applyProtection="1">
      <alignment wrapText="1"/>
    </xf>
    <xf numFmtId="0" fontId="1" fillId="3" borderId="0" xfId="0" applyFont="1" applyFill="1" applyProtection="1"/>
    <xf numFmtId="0" fontId="0" fillId="3" borderId="23" xfId="0" applyFont="1" applyFill="1" applyBorder="1" applyProtection="1"/>
    <xf numFmtId="165" fontId="0" fillId="3" borderId="24" xfId="0" applyNumberFormat="1" applyFill="1" applyBorder="1" applyAlignment="1" applyProtection="1">
      <alignment horizontal="center" vertical="center"/>
    </xf>
    <xf numFmtId="165" fontId="0" fillId="3" borderId="25" xfId="0" applyNumberFormat="1" applyFill="1" applyBorder="1" applyAlignment="1" applyProtection="1">
      <alignment horizontal="center" vertical="center"/>
    </xf>
    <xf numFmtId="0" fontId="0" fillId="3" borderId="26" xfId="0" applyFill="1" applyBorder="1" applyAlignment="1" applyProtection="1">
      <alignment horizontal="center" vertical="center"/>
    </xf>
    <xf numFmtId="165" fontId="0" fillId="3" borderId="26" xfId="0" applyNumberFormat="1" applyFill="1" applyBorder="1" applyAlignment="1" applyProtection="1">
      <alignment horizontal="center" vertical="center"/>
    </xf>
    <xf numFmtId="1" fontId="0" fillId="3" borderId="24" xfId="0" applyNumberFormat="1" applyFont="1" applyFill="1" applyBorder="1" applyAlignment="1" applyProtection="1">
      <alignment horizontal="center" vertical="center"/>
    </xf>
    <xf numFmtId="1" fontId="0" fillId="3" borderId="25" xfId="0" applyNumberFormat="1" applyFont="1" applyFill="1" applyBorder="1" applyAlignment="1" applyProtection="1">
      <alignment horizontal="center" vertical="center"/>
    </xf>
    <xf numFmtId="0" fontId="0" fillId="3" borderId="12" xfId="0" applyFont="1" applyFill="1" applyBorder="1" applyProtection="1"/>
    <xf numFmtId="165" fontId="0" fillId="3" borderId="7" xfId="0" applyNumberFormat="1" applyFill="1" applyBorder="1" applyAlignment="1" applyProtection="1">
      <alignment horizontal="center" vertical="center"/>
    </xf>
    <xf numFmtId="165" fontId="0" fillId="3" borderId="8" xfId="0" applyNumberFormat="1" applyFill="1" applyBorder="1" applyAlignment="1" applyProtection="1">
      <alignment horizontal="center" vertical="center"/>
    </xf>
    <xf numFmtId="0" fontId="0" fillId="3" borderId="16" xfId="0" applyFill="1" applyBorder="1" applyAlignment="1" applyProtection="1">
      <alignment horizontal="center" vertical="center"/>
    </xf>
    <xf numFmtId="165" fontId="0" fillId="3" borderId="16" xfId="0" applyNumberFormat="1" applyFill="1" applyBorder="1" applyAlignment="1" applyProtection="1">
      <alignment horizontal="center" vertical="center"/>
    </xf>
    <xf numFmtId="1" fontId="0" fillId="3" borderId="7" xfId="0" applyNumberFormat="1" applyFont="1" applyFill="1" applyBorder="1" applyAlignment="1" applyProtection="1">
      <alignment horizontal="center" vertical="center"/>
    </xf>
    <xf numFmtId="1" fontId="0" fillId="3" borderId="8" xfId="0" applyNumberFormat="1" applyFont="1" applyFill="1" applyBorder="1" applyAlignment="1" applyProtection="1">
      <alignment horizontal="center" vertical="center"/>
    </xf>
    <xf numFmtId="0" fontId="0" fillId="3" borderId="0" xfId="0" applyFont="1" applyFill="1" applyProtection="1"/>
    <xf numFmtId="0" fontId="0" fillId="3" borderId="13" xfId="0" applyFont="1" applyFill="1" applyBorder="1" applyProtection="1"/>
    <xf numFmtId="165" fontId="0" fillId="3" borderId="9" xfId="0" applyNumberFormat="1" applyFill="1" applyBorder="1" applyAlignment="1" applyProtection="1">
      <alignment horizontal="center" vertical="center"/>
    </xf>
    <xf numFmtId="165" fontId="0" fillId="3" borderId="10" xfId="0" applyNumberFormat="1" applyFill="1" applyBorder="1" applyAlignment="1" applyProtection="1">
      <alignment horizontal="center" vertical="center"/>
    </xf>
    <xf numFmtId="0" fontId="0" fillId="3" borderId="17" xfId="0" applyFill="1" applyBorder="1" applyAlignment="1" applyProtection="1">
      <alignment horizontal="center" vertical="center"/>
    </xf>
    <xf numFmtId="165" fontId="0" fillId="3" borderId="17" xfId="0" applyNumberFormat="1" applyFill="1" applyBorder="1" applyAlignment="1" applyProtection="1">
      <alignment horizontal="center" vertical="center"/>
    </xf>
    <xf numFmtId="1" fontId="0" fillId="3" borderId="9" xfId="0" applyNumberFormat="1" applyFont="1" applyFill="1" applyBorder="1" applyAlignment="1" applyProtection="1">
      <alignment horizontal="center" vertical="center"/>
    </xf>
    <xf numFmtId="1" fontId="0" fillId="3" borderId="10" xfId="0" applyNumberFormat="1" applyFont="1" applyFill="1" applyBorder="1" applyAlignment="1" applyProtection="1">
      <alignment horizontal="center" vertical="center"/>
    </xf>
    <xf numFmtId="0" fontId="1" fillId="3" borderId="14" xfId="0" applyFont="1" applyFill="1" applyBorder="1" applyProtection="1"/>
    <xf numFmtId="165" fontId="1" fillId="3" borderId="2" xfId="0" applyNumberFormat="1" applyFont="1" applyFill="1" applyBorder="1" applyAlignment="1" applyProtection="1">
      <alignment horizontal="center" vertical="center"/>
    </xf>
    <xf numFmtId="165" fontId="1" fillId="3" borderId="3" xfId="0" applyNumberFormat="1" applyFont="1" applyFill="1" applyBorder="1" applyAlignment="1" applyProtection="1">
      <alignment horizontal="center" vertical="center"/>
    </xf>
    <xf numFmtId="165" fontId="1" fillId="3" borderId="18" xfId="0" applyNumberFormat="1" applyFont="1" applyFill="1" applyBorder="1" applyAlignment="1" applyProtection="1">
      <alignment horizontal="center" vertical="center"/>
    </xf>
    <xf numFmtId="1" fontId="1" fillId="3" borderId="18"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center" vertical="center"/>
    </xf>
    <xf numFmtId="1" fontId="1" fillId="3" borderId="0" xfId="0" applyNumberFormat="1" applyFont="1" applyFill="1" applyProtection="1"/>
    <xf numFmtId="165" fontId="0" fillId="3" borderId="0" xfId="0" applyNumberFormat="1" applyFill="1" applyProtection="1"/>
    <xf numFmtId="0" fontId="0" fillId="2" borderId="0" xfId="0" applyFill="1" applyAlignment="1" applyProtection="1">
      <alignment horizontal="left"/>
      <protection locked="0"/>
    </xf>
    <xf numFmtId="2" fontId="0" fillId="2" borderId="0" xfId="0" applyNumberFormat="1" applyFill="1" applyAlignment="1" applyProtection="1">
      <alignment horizontal="left"/>
      <protection locked="0"/>
    </xf>
    <xf numFmtId="166" fontId="0" fillId="2" borderId="0" xfId="1" applyNumberFormat="1" applyFont="1" applyFill="1" applyAlignment="1" applyProtection="1">
      <alignment horizontal="left"/>
      <protection locked="0"/>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 xfId="0" applyFill="1" applyBorder="1" applyProtection="1">
      <protection locked="0"/>
    </xf>
    <xf numFmtId="0" fontId="0" fillId="2" borderId="8" xfId="0" applyFill="1" applyBorder="1" applyProtection="1">
      <protection locked="0"/>
    </xf>
    <xf numFmtId="0" fontId="0" fillId="2" borderId="21" xfId="0" applyFill="1" applyBorder="1" applyProtection="1">
      <protection locked="0"/>
    </xf>
    <xf numFmtId="0" fontId="0" fillId="2" borderId="22" xfId="0" applyFill="1" applyBorder="1" applyProtection="1">
      <protection locked="0"/>
    </xf>
    <xf numFmtId="0" fontId="1" fillId="3" borderId="4"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4" xfId="0" applyFont="1" applyFill="1" applyBorder="1" applyAlignment="1" applyProtection="1">
      <alignment horizontal="center" wrapText="1"/>
    </xf>
    <xf numFmtId="0" fontId="1" fillId="3" borderId="6" xfId="0" applyFont="1" applyFill="1" applyBorder="1" applyAlignment="1" applyProtection="1">
      <alignment horizontal="center" wrapText="1"/>
    </xf>
    <xf numFmtId="2" fontId="5" fillId="3" borderId="0" xfId="0" applyNumberFormat="1" applyFont="1" applyFill="1"/>
  </cellXfs>
  <cellStyles count="2">
    <cellStyle name="Procent" xfId="1" builtinId="5"/>
    <cellStyle name="Standaard" xfId="0" builtinId="0"/>
  </cellStyles>
  <dxfs count="18">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4</xdr:col>
      <xdr:colOff>190500</xdr:colOff>
      <xdr:row>4</xdr:row>
      <xdr:rowOff>180975</xdr:rowOff>
    </xdr:to>
    <xdr:sp macro="" textlink="">
      <xdr:nvSpPr>
        <xdr:cNvPr id="2" name="Tekstvak 1">
          <a:extLst>
            <a:ext uri="{FF2B5EF4-FFF2-40B4-BE49-F238E27FC236}">
              <a16:creationId xmlns:a16="http://schemas.microsoft.com/office/drawing/2014/main" id="{4687AFFA-9C45-08F7-43E2-AD79C2D81D11}"/>
            </a:ext>
          </a:extLst>
        </xdr:cNvPr>
        <xdr:cNvSpPr txBox="1"/>
      </xdr:nvSpPr>
      <xdr:spPr>
        <a:xfrm>
          <a:off x="57150" y="47625"/>
          <a:ext cx="5438775" cy="895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vindt u de uitgangspunten die we hebben gebruikt voor de berekeningen van kosten en opbrengsten voor de referentiewoningen. Wilt u de resultaten met andere uitgangspunten bekijken dan kunt u de witte velden hieronder zelf aanpassen.</a:t>
          </a:r>
          <a:endParaRPr lang="nl-NL" sz="1100"/>
        </a:p>
      </xdr:txBody>
    </xdr:sp>
    <xdr:clientData/>
  </xdr:twoCellAnchor>
  <xdr:twoCellAnchor>
    <xdr:from>
      <xdr:col>0</xdr:col>
      <xdr:colOff>47625</xdr:colOff>
      <xdr:row>9</xdr:row>
      <xdr:rowOff>85725</xdr:rowOff>
    </xdr:from>
    <xdr:to>
      <xdr:col>4</xdr:col>
      <xdr:colOff>171450</xdr:colOff>
      <xdr:row>16</xdr:row>
      <xdr:rowOff>180975</xdr:rowOff>
    </xdr:to>
    <xdr:sp macro="" textlink="">
      <xdr:nvSpPr>
        <xdr:cNvPr id="3" name="Tekstvak 2">
          <a:extLst>
            <a:ext uri="{FF2B5EF4-FFF2-40B4-BE49-F238E27FC236}">
              <a16:creationId xmlns:a16="http://schemas.microsoft.com/office/drawing/2014/main" id="{C3050477-55E6-053E-164C-89A3E6BF0468}"/>
            </a:ext>
          </a:extLst>
        </xdr:cNvPr>
        <xdr:cNvSpPr txBox="1"/>
      </xdr:nvSpPr>
      <xdr:spPr>
        <a:xfrm>
          <a:off x="47625" y="2162175"/>
          <a:ext cx="5219700" cy="1504950"/>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graaddagen</a:t>
          </a:r>
        </a:p>
        <a:p>
          <a:r>
            <a:rPr lang="nl-NL" sz="1100" b="0"/>
            <a:t>Voor de berekening</a:t>
          </a:r>
          <a:r>
            <a:rPr lang="nl-NL" sz="1100" b="0" baseline="0"/>
            <a:t> van het warmteverlies maken we gebruik van graaddagen. Wij hebben gerekend met het gemiddeld aantal graaddagen per jaar over de afgelopen 10 jaar (oktober 2013 t/m september 2023) bij een binnentemperatuur van 18 graden. </a:t>
          </a:r>
        </a:p>
        <a:p>
          <a:r>
            <a:rPr lang="nl-NL" sz="1100" b="0" baseline="0"/>
            <a:t>We rekenen in deze tool met een vast aantal graaddagen voor en na de woningisolatie. In werkelijkheid is het aantal graaddagen voor een goed geïsoleerde woning lager omdat de woning warmte langer vasthoudt.</a:t>
          </a:r>
        </a:p>
        <a:p>
          <a:r>
            <a:rPr lang="nl-NL" sz="1100" b="0"/>
            <a:t>Meer over graaddagen leest u op https://www.mindergas.nl/degree_days_calculation.</a:t>
          </a:r>
        </a:p>
      </xdr:txBody>
    </xdr:sp>
    <xdr:clientData/>
  </xdr:twoCellAnchor>
  <xdr:twoCellAnchor>
    <xdr:from>
      <xdr:col>0</xdr:col>
      <xdr:colOff>38100</xdr:colOff>
      <xdr:row>22</xdr:row>
      <xdr:rowOff>66674</xdr:rowOff>
    </xdr:from>
    <xdr:to>
      <xdr:col>4</xdr:col>
      <xdr:colOff>95250</xdr:colOff>
      <xdr:row>31</xdr:row>
      <xdr:rowOff>57149</xdr:rowOff>
    </xdr:to>
    <xdr:sp macro="" textlink="">
      <xdr:nvSpPr>
        <xdr:cNvPr id="4" name="Tekstvak 3">
          <a:extLst>
            <a:ext uri="{FF2B5EF4-FFF2-40B4-BE49-F238E27FC236}">
              <a16:creationId xmlns:a16="http://schemas.microsoft.com/office/drawing/2014/main" id="{2133C6A9-BECE-F3C2-93C6-0DBB4F999016}"/>
            </a:ext>
          </a:extLst>
        </xdr:cNvPr>
        <xdr:cNvSpPr txBox="1"/>
      </xdr:nvSpPr>
      <xdr:spPr>
        <a:xfrm>
          <a:off x="38100" y="4752974"/>
          <a:ext cx="5362575" cy="1704975"/>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ventilatie</a:t>
          </a:r>
        </a:p>
        <a:p>
          <a:r>
            <a:rPr lang="nl-NL" sz="1100" b="0"/>
            <a:t>Met behulp van warmteterugwinning</a:t>
          </a:r>
          <a:r>
            <a:rPr lang="nl-NL" sz="1100" b="0" baseline="0"/>
            <a:t> kan het warmteverlies door ventilatie worden teruggebracht. Wij zijn in deze tool standaard uitgegaan van een warmteverlies in de woning van 17,5% door ventilatie en een rendement van de warmteterugwinning van 70% (decentrale wtw). Verder hebben we de aanname gedaan dat alleen de begane grond voorzien wordt van een decentrale wtw en dat op de bovenverdieping de roosters behouden blijven. Het aandeel begane grond berekenen we standaard door het vloeroppervlak van de benedenverdieping te delen door het totale vloeroppervlak. U kunt deze uitgangspunten zelf aanpassen (zie tabbladen Invoer).</a:t>
          </a:r>
          <a:endParaRPr lang="nl-NL" sz="1100" b="0"/>
        </a:p>
      </xdr:txBody>
    </xdr:sp>
    <xdr:clientData/>
  </xdr:twoCellAnchor>
  <xdr:twoCellAnchor>
    <xdr:from>
      <xdr:col>0</xdr:col>
      <xdr:colOff>38101</xdr:colOff>
      <xdr:row>45</xdr:row>
      <xdr:rowOff>57149</xdr:rowOff>
    </xdr:from>
    <xdr:to>
      <xdr:col>4</xdr:col>
      <xdr:colOff>57150</xdr:colOff>
      <xdr:row>54</xdr:row>
      <xdr:rowOff>142875</xdr:rowOff>
    </xdr:to>
    <xdr:sp macro="" textlink="">
      <xdr:nvSpPr>
        <xdr:cNvPr id="5" name="Tekstvak 4">
          <a:extLst>
            <a:ext uri="{FF2B5EF4-FFF2-40B4-BE49-F238E27FC236}">
              <a16:creationId xmlns:a16="http://schemas.microsoft.com/office/drawing/2014/main" id="{0C5437E3-A9B6-928E-AC32-8179605F1380}"/>
            </a:ext>
          </a:extLst>
        </xdr:cNvPr>
        <xdr:cNvSpPr txBox="1"/>
      </xdr:nvSpPr>
      <xdr:spPr>
        <a:xfrm>
          <a:off x="38101" y="9124949"/>
          <a:ext cx="5324474" cy="1800226"/>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a:solidFill>
                <a:schemeClr val="dk1"/>
              </a:solidFill>
              <a:effectLst/>
              <a:latin typeface="+mn-lt"/>
              <a:ea typeface="+mn-ea"/>
              <a:cs typeface="+mn-cs"/>
            </a:rPr>
            <a:t>Toelichting kosten</a:t>
          </a:r>
        </a:p>
        <a:p>
          <a:r>
            <a:rPr lang="nl-NL" sz="1100" b="0" i="0">
              <a:solidFill>
                <a:schemeClr val="dk1"/>
              </a:solidFill>
              <a:effectLst/>
              <a:latin typeface="+mn-lt"/>
              <a:ea typeface="+mn-ea"/>
              <a:cs typeface="+mn-cs"/>
            </a:rPr>
            <a:t>Bovenstaande</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bedragen komen van de website van MilieuCentraal (januari 2024) of van de site van RVO (kostenkengetallen 2023). Kijk op deze sites voor de meest actuele bedragen. </a:t>
          </a:r>
        </a:p>
        <a:p>
          <a:r>
            <a:rPr lang="nl-NL" sz="1100" b="0" i="0">
              <a:solidFill>
                <a:schemeClr val="dk1"/>
              </a:solidFill>
              <a:effectLst/>
              <a:latin typeface="+mn-lt"/>
              <a:ea typeface="+mn-ea"/>
              <a:cs typeface="+mn-cs"/>
            </a:rPr>
            <a:t>Als u de</a:t>
          </a:r>
          <a:r>
            <a:rPr lang="nl-NL" sz="1100" b="0" i="0" baseline="0">
              <a:solidFill>
                <a:schemeClr val="dk1"/>
              </a:solidFill>
              <a:effectLst/>
              <a:latin typeface="+mn-lt"/>
              <a:ea typeface="+mn-ea"/>
              <a:cs typeface="+mn-cs"/>
            </a:rPr>
            <a:t> werkzaamheden door doe-het-zelvers uitgevoerd kunnen worden (kierdichting, dak en vloer) zijn de minimum bedragen gebaseerd op materiaalkosten. De maximumbedragen gaan er altijd van uit dat u de werkzaamheden laat uitvoeren.</a:t>
          </a:r>
        </a:p>
        <a:p>
          <a:r>
            <a:rPr lang="nl-NL" sz="1100" b="0" i="0" baseline="0">
              <a:solidFill>
                <a:schemeClr val="dk1"/>
              </a:solidFill>
              <a:effectLst/>
              <a:latin typeface="+mn-lt"/>
              <a:ea typeface="+mn-ea"/>
              <a:cs typeface="+mn-cs"/>
            </a:rPr>
            <a:t>Voor de ventilatie zijn we uitgegaan van een decentrale WTW op de begane grond.</a:t>
          </a:r>
          <a:endParaRPr lang="nl-NL" sz="1100" b="0" i="0">
            <a:solidFill>
              <a:schemeClr val="dk1"/>
            </a:solidFill>
            <a:effectLst/>
            <a:latin typeface="+mn-lt"/>
            <a:ea typeface="+mn-ea"/>
            <a:cs typeface="+mn-cs"/>
          </a:endParaRPr>
        </a:p>
        <a:p>
          <a:r>
            <a:rPr lang="nl-NL" sz="1100" b="0" i="0">
              <a:solidFill>
                <a:schemeClr val="dk1"/>
              </a:solidFill>
              <a:effectLst/>
              <a:latin typeface="+mn-lt"/>
              <a:ea typeface="+mn-ea"/>
              <a:cs typeface="+mn-cs"/>
            </a:rPr>
            <a:t>Let op: De bedragen zijn gemiddelden: in uw situatie kunnen de kosten daarom best flink hoger of lager uitvallen. Dat heeft te maken met uw woning. </a:t>
          </a:r>
          <a:endParaRPr lang="nl-NL" sz="1100"/>
        </a:p>
      </xdr:txBody>
    </xdr:sp>
    <xdr:clientData/>
  </xdr:twoCellAnchor>
  <xdr:twoCellAnchor>
    <xdr:from>
      <xdr:col>0</xdr:col>
      <xdr:colOff>38100</xdr:colOff>
      <xdr:row>67</xdr:row>
      <xdr:rowOff>66675</xdr:rowOff>
    </xdr:from>
    <xdr:to>
      <xdr:col>4</xdr:col>
      <xdr:colOff>0</xdr:colOff>
      <xdr:row>80</xdr:row>
      <xdr:rowOff>9525</xdr:rowOff>
    </xdr:to>
    <xdr:sp macro="" textlink="">
      <xdr:nvSpPr>
        <xdr:cNvPr id="6" name="Tekstvak 5">
          <a:extLst>
            <a:ext uri="{FF2B5EF4-FFF2-40B4-BE49-F238E27FC236}">
              <a16:creationId xmlns:a16="http://schemas.microsoft.com/office/drawing/2014/main" id="{E98A19D9-6988-D608-E64B-3CE65A078F56}"/>
            </a:ext>
          </a:extLst>
        </xdr:cNvPr>
        <xdr:cNvSpPr txBox="1"/>
      </xdr:nvSpPr>
      <xdr:spPr>
        <a:xfrm>
          <a:off x="38100" y="13134975"/>
          <a:ext cx="5267325" cy="2419350"/>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r>
            <a:rPr lang="nl-NL" sz="1100" b="1" baseline="0"/>
            <a:t> subsidie (ISDE)</a:t>
          </a:r>
        </a:p>
        <a:p>
          <a:r>
            <a:rPr lang="nl-NL" sz="1100" baseline="0"/>
            <a:t>Op isolatiewerkzaamheden kunt u vaak subsidie krijgen vanuit het Rijk via de RVO. Bovenstaande subsdieibedragen zijn de bedragen voor 2024. </a:t>
          </a:r>
        </a:p>
        <a:p>
          <a:r>
            <a:rPr lang="nl-NL" sz="1100" baseline="0"/>
            <a:t>Als u twee maatregelen neemt binnen 24 maanden krijgt u dubbele subsidie (maximale bedragen). Bij één maatregel krijgt u het minimale bedrag.</a:t>
          </a:r>
        </a:p>
        <a:p>
          <a:r>
            <a:rPr lang="nl-NL" sz="1100" baseline="0"/>
            <a:t>U kunt voor ieder soort maatregel één keer subsidie krijgen per woning. Gevelpanelen, deuren en ramen zijn samen één maatregel. En dat geldt ook voor dak hellend en dak plat.</a:t>
          </a:r>
        </a:p>
        <a:p>
          <a:r>
            <a:rPr lang="nl-NL" sz="1100" baseline="0"/>
            <a:t>Let op: Aan de subsidie hangen voorwaarden. De belangrijkste zijn dat de isolatie moet voldoen aan een minimale oppervlakte en isolatiewaarde. In deze tool checken we niet of deze waarden gehaald worden.</a:t>
          </a:r>
        </a:p>
        <a:p>
          <a:r>
            <a:rPr lang="nl-NL" sz="1100" baseline="0"/>
            <a:t>Meer over de subsidie leest u op: https://www.rvo.nl/subsidies-financiering/isde/woningeigenaren/isolatiemaatregelen.</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85725</xdr:rowOff>
    </xdr:from>
    <xdr:to>
      <xdr:col>6</xdr:col>
      <xdr:colOff>495300</xdr:colOff>
      <xdr:row>5</xdr:row>
      <xdr:rowOff>9525</xdr:rowOff>
    </xdr:to>
    <xdr:sp macro="" textlink="">
      <xdr:nvSpPr>
        <xdr:cNvPr id="2" name="Tekstvak 1">
          <a:extLst>
            <a:ext uri="{FF2B5EF4-FFF2-40B4-BE49-F238E27FC236}">
              <a16:creationId xmlns:a16="http://schemas.microsoft.com/office/drawing/2014/main" id="{CE0C3DA5-8C49-4D57-82A0-16280BBBB267}"/>
            </a:ext>
          </a:extLst>
        </xdr:cNvPr>
        <xdr:cNvSpPr txBox="1"/>
      </xdr:nvSpPr>
      <xdr:spPr>
        <a:xfrm>
          <a:off x="76200" y="85725"/>
          <a:ext cx="6334125" cy="87630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b="0"/>
            <a:t>Op dit blad vindt u hulpmiddelen om u te helpen bepaalde berekeningen te maken, zoals het uitrekenen van het gewogen gemiddelde.</a:t>
          </a:r>
        </a:p>
        <a:p>
          <a:r>
            <a:rPr lang="nl-NL" sz="1100" b="0"/>
            <a:t>U vult</a:t>
          </a:r>
          <a:r>
            <a:rPr lang="nl-NL" sz="1100" b="0" baseline="0"/>
            <a:t> de witte velden in.</a:t>
          </a:r>
          <a:endParaRPr lang="nl-NL" sz="1100" b="0"/>
        </a:p>
      </xdr:txBody>
    </xdr:sp>
    <xdr:clientData/>
  </xdr:twoCellAnchor>
  <xdr:twoCellAnchor>
    <xdr:from>
      <xdr:col>0</xdr:col>
      <xdr:colOff>57150</xdr:colOff>
      <xdr:row>20</xdr:row>
      <xdr:rowOff>142875</xdr:rowOff>
    </xdr:from>
    <xdr:to>
      <xdr:col>6</xdr:col>
      <xdr:colOff>476250</xdr:colOff>
      <xdr:row>26</xdr:row>
      <xdr:rowOff>161926</xdr:rowOff>
    </xdr:to>
    <xdr:sp macro="" textlink="">
      <xdr:nvSpPr>
        <xdr:cNvPr id="3" name="Tekstvak 2">
          <a:extLst>
            <a:ext uri="{FF2B5EF4-FFF2-40B4-BE49-F238E27FC236}">
              <a16:creationId xmlns:a16="http://schemas.microsoft.com/office/drawing/2014/main" id="{E1583E51-60B8-49FF-91E9-73498DD4505B}"/>
            </a:ext>
          </a:extLst>
        </xdr:cNvPr>
        <xdr:cNvSpPr txBox="1"/>
      </xdr:nvSpPr>
      <xdr:spPr>
        <a:xfrm>
          <a:off x="57150" y="4048125"/>
          <a:ext cx="6334125" cy="117157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t>Toelichting gewogen gemiddelde</a:t>
          </a:r>
          <a:r>
            <a:rPr lang="nl-NL" sz="1050" b="1" baseline="0"/>
            <a:t> Rc-waarde</a:t>
          </a:r>
        </a:p>
        <a:p>
          <a:r>
            <a:rPr lang="nl-NL" sz="1050" b="0" baseline="0"/>
            <a:t>Om het gewogen gemiddelde op basis van Rc-waarde te berekenen voert u hierboven per onderdeel de oppervlakte en isolatiewaarde in.</a:t>
          </a:r>
        </a:p>
        <a:p>
          <a:r>
            <a:rPr lang="nl-NL" sz="1050" b="0" baseline="0"/>
            <a:t>Voorbeeld: U heeft twee dakvlakken, één van 20 m2 per een Rc-waarde van 2 en één van 50 m2 met een Rc-waarde van 2,5. U voert deze waarden in achter onderdeel 1 en 2.  In cel C20 ziet u dan het gewogen gemiddelde van 2,36. Deze waarde kunt u overnemen op het tabblad Invoer.</a:t>
          </a:r>
          <a:endParaRPr lang="nl-NL" sz="1050" b="0"/>
        </a:p>
      </xdr:txBody>
    </xdr:sp>
    <xdr:clientData/>
  </xdr:twoCellAnchor>
  <xdr:twoCellAnchor>
    <xdr:from>
      <xdr:col>0</xdr:col>
      <xdr:colOff>57150</xdr:colOff>
      <xdr:row>42</xdr:row>
      <xdr:rowOff>142875</xdr:rowOff>
    </xdr:from>
    <xdr:to>
      <xdr:col>6</xdr:col>
      <xdr:colOff>476250</xdr:colOff>
      <xdr:row>48</xdr:row>
      <xdr:rowOff>161926</xdr:rowOff>
    </xdr:to>
    <xdr:sp macro="" textlink="">
      <xdr:nvSpPr>
        <xdr:cNvPr id="4" name="Tekstvak 3">
          <a:extLst>
            <a:ext uri="{FF2B5EF4-FFF2-40B4-BE49-F238E27FC236}">
              <a16:creationId xmlns:a16="http://schemas.microsoft.com/office/drawing/2014/main" id="{51730BE3-1C4A-4A9D-ABE2-714C72B5BFB7}"/>
            </a:ext>
          </a:extLst>
        </xdr:cNvPr>
        <xdr:cNvSpPr txBox="1"/>
      </xdr:nvSpPr>
      <xdr:spPr>
        <a:xfrm>
          <a:off x="57150" y="4048125"/>
          <a:ext cx="6334125" cy="117157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t>Toelichting gewogen gemiddelde</a:t>
          </a:r>
          <a:r>
            <a:rPr lang="nl-NL" sz="1050" b="1" baseline="0"/>
            <a:t> U-waarde</a:t>
          </a:r>
        </a:p>
        <a:p>
          <a:r>
            <a:rPr lang="nl-NL" sz="1050" b="0" baseline="0"/>
            <a:t>Om het gewogen gemiddelde op basis van Rc-waarde te berekenen voert u hierboven per onderdeel de oppervlakte en isolatiewaarde in.</a:t>
          </a:r>
        </a:p>
        <a:p>
          <a:r>
            <a:rPr lang="nl-NL" sz="1050" b="0" baseline="0"/>
            <a:t>Voorbeeld: U heeft twee ramen, één van 3 m2 per een U-waarde van 2,9 (dubbelglas) en één van 1 m2 met een U-waarde van 1,1 (HR++-glas). U voert deze waarden in achter onderdeel 1 en 2.  In cel C42 ziet u dan het gewogen gemiddelde van 2,36. Deze waarde kunt u overnemen op het tabblad Invoer.</a:t>
          </a:r>
          <a:endParaRPr lang="nl-NL" sz="105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E079EB8C-8FFA-47F0-9ED9-2043034C51EA}"/>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15806039-1491-47BE-8965-BC07F9762773}"/>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4A00DF15-27DD-4425-9906-8CC48482D9FF}"/>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3A7FC0C1-F43C-4859-B011-209E49EF0E40}"/>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47C60B01-97D0-4E61-9AD9-4F5C611BA71B}"/>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B5627CDE-B8C2-4DB5-8D61-5F8403A06CC2}"/>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inidcatie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11EACF08-F59C-4A4E-9EA4-E7CEF925EA76}"/>
            </a:ext>
          </a:extLst>
        </xdr:cNvPr>
        <xdr:cNvSpPr txBox="1"/>
      </xdr:nvSpPr>
      <xdr:spPr>
        <a:xfrm>
          <a:off x="0" y="6848475"/>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AC008B41-25FA-4FA6-9EF6-14FB050E0F8D}"/>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717804BB-F8EA-46B9-9826-9FCCDD4CBFC2}"/>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A1AE0BD6-9DA3-4479-AF7C-BE955360F74F}"/>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FFD28ABE-4DB6-421F-8F7B-9B94485D0AD2}"/>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9ACA0477-F368-4137-A04F-8CB9E6A29541}"/>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6C3DDF6D-B28B-4294-BF44-2E6B5D13C19A}"/>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inidcatie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29A45CFA-A260-4934-8404-502E96127C44}"/>
            </a:ext>
          </a:extLst>
        </xdr:cNvPr>
        <xdr:cNvSpPr txBox="1"/>
      </xdr:nvSpPr>
      <xdr:spPr>
        <a:xfrm>
          <a:off x="0" y="6896100"/>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2A349774-9DA7-4630-AA64-07EA3DF426A9}"/>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EB2C5011-91BE-466E-8C73-732869D381A3}"/>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11397C50-2837-4E63-94C0-65AFC0399F97}"/>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672840BE-334A-42EB-8B1C-C169E14DB7B7}"/>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4BC60A7B-A208-45E0-8D2B-272C984D99CF}"/>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F2F02F80-7A56-4FE3-969B-F58E13F446CA}"/>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indicatie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D3028D86-6FE7-4FD1-A6CA-A727465085A5}"/>
            </a:ext>
          </a:extLst>
        </xdr:cNvPr>
        <xdr:cNvSpPr txBox="1"/>
      </xdr:nvSpPr>
      <xdr:spPr>
        <a:xfrm>
          <a:off x="0" y="6896100"/>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9724E-624A-4688-8DA8-9CF37421D119}">
  <sheetPr codeName="Blad1"/>
  <dimension ref="A7:G67"/>
  <sheetViews>
    <sheetView workbookViewId="0">
      <selection activeCell="H13" sqref="H13"/>
    </sheetView>
  </sheetViews>
  <sheetFormatPr defaultRowHeight="15" x14ac:dyDescent="0.25"/>
  <cols>
    <col min="1" max="1" width="41.42578125" style="7" customWidth="1"/>
    <col min="2" max="4" width="12.7109375" style="7" customWidth="1"/>
    <col min="5" max="16384" width="9.140625" style="7"/>
  </cols>
  <sheetData>
    <row r="7" spans="1:5" x14ac:dyDescent="0.25">
      <c r="A7" s="8" t="s">
        <v>2</v>
      </c>
    </row>
    <row r="8" spans="1:5" x14ac:dyDescent="0.25">
      <c r="A8" s="9" t="s">
        <v>2</v>
      </c>
      <c r="B8" s="16">
        <v>2628.12</v>
      </c>
      <c r="C8" s="7" t="s">
        <v>1</v>
      </c>
      <c r="E8" s="10"/>
    </row>
    <row r="9" spans="1:5" x14ac:dyDescent="0.25">
      <c r="A9" s="9" t="s">
        <v>53</v>
      </c>
      <c r="B9" s="17">
        <v>365.25</v>
      </c>
      <c r="C9" s="7" t="s">
        <v>0</v>
      </c>
      <c r="E9" s="10"/>
    </row>
    <row r="10" spans="1:5" x14ac:dyDescent="0.25">
      <c r="A10" s="9"/>
      <c r="B10" s="11"/>
      <c r="E10" s="10"/>
    </row>
    <row r="11" spans="1:5" x14ac:dyDescent="0.25">
      <c r="A11" s="9"/>
      <c r="B11" s="11"/>
      <c r="E11" s="10"/>
    </row>
    <row r="12" spans="1:5" x14ac:dyDescent="0.25">
      <c r="A12" s="9"/>
      <c r="B12" s="11"/>
      <c r="E12" s="10"/>
    </row>
    <row r="13" spans="1:5" ht="16.5" customHeight="1" x14ac:dyDescent="0.25">
      <c r="A13" s="9"/>
      <c r="B13" s="11"/>
      <c r="E13" s="10"/>
    </row>
    <row r="14" spans="1:5" ht="16.5" customHeight="1" x14ac:dyDescent="0.25">
      <c r="A14" s="9"/>
      <c r="B14" s="11"/>
      <c r="E14" s="10"/>
    </row>
    <row r="15" spans="1:5" ht="16.5" customHeight="1" x14ac:dyDescent="0.25"/>
    <row r="16" spans="1:5" ht="16.5" customHeight="1" x14ac:dyDescent="0.25"/>
    <row r="17" spans="1:5" ht="16.5" customHeight="1" x14ac:dyDescent="0.25"/>
    <row r="18" spans="1:5" ht="16.5" customHeight="1" x14ac:dyDescent="0.25"/>
    <row r="19" spans="1:5" ht="16.5" customHeight="1" x14ac:dyDescent="0.25"/>
    <row r="20" spans="1:5" x14ac:dyDescent="0.25">
      <c r="A20" s="8" t="s">
        <v>70</v>
      </c>
      <c r="B20" s="10"/>
      <c r="E20" s="10"/>
    </row>
    <row r="21" spans="1:5" x14ac:dyDescent="0.25">
      <c r="A21" s="9" t="s">
        <v>72</v>
      </c>
      <c r="B21" s="18">
        <v>0.17499999999999999</v>
      </c>
      <c r="E21" s="10"/>
    </row>
    <row r="22" spans="1:5" x14ac:dyDescent="0.25">
      <c r="A22" s="9" t="s">
        <v>74</v>
      </c>
      <c r="B22" s="19">
        <v>0.7</v>
      </c>
      <c r="E22" s="10"/>
    </row>
    <row r="23" spans="1:5" x14ac:dyDescent="0.25">
      <c r="A23" s="9"/>
      <c r="B23" s="12"/>
      <c r="E23" s="10"/>
    </row>
    <row r="24" spans="1:5" x14ac:dyDescent="0.25">
      <c r="A24" s="9"/>
      <c r="B24" s="12"/>
      <c r="E24" s="10"/>
    </row>
    <row r="25" spans="1:5" x14ac:dyDescent="0.25">
      <c r="A25" s="9"/>
      <c r="B25" s="12"/>
      <c r="E25" s="10"/>
    </row>
    <row r="26" spans="1:5" x14ac:dyDescent="0.25">
      <c r="A26" s="9"/>
      <c r="B26" s="12"/>
      <c r="E26" s="10"/>
    </row>
    <row r="27" spans="1:5" x14ac:dyDescent="0.25">
      <c r="A27" s="9"/>
      <c r="B27" s="12"/>
      <c r="E27" s="10"/>
    </row>
    <row r="34" spans="1:7" x14ac:dyDescent="0.25">
      <c r="A34" s="8" t="s">
        <v>48</v>
      </c>
      <c r="B34" s="13" t="s">
        <v>38</v>
      </c>
      <c r="C34" s="8" t="s">
        <v>39</v>
      </c>
      <c r="D34" s="8" t="s">
        <v>49</v>
      </c>
      <c r="E34" s="10"/>
    </row>
    <row r="35" spans="1:7" x14ac:dyDescent="0.25">
      <c r="A35" s="9" t="s">
        <v>42</v>
      </c>
      <c r="B35" s="20">
        <v>370</v>
      </c>
      <c r="C35" s="20">
        <v>2700</v>
      </c>
      <c r="D35" s="7" t="s">
        <v>50</v>
      </c>
      <c r="E35" s="10"/>
    </row>
    <row r="36" spans="1:7" x14ac:dyDescent="0.25">
      <c r="A36" s="9" t="s">
        <v>55</v>
      </c>
      <c r="B36" s="20">
        <f>23-23*0.1</f>
        <v>20.7</v>
      </c>
      <c r="C36" s="20">
        <f>23+23*0.1</f>
        <v>25.3</v>
      </c>
      <c r="D36" s="7" t="s">
        <v>52</v>
      </c>
      <c r="E36" s="10"/>
    </row>
    <row r="37" spans="1:7" x14ac:dyDescent="0.25">
      <c r="A37" s="9" t="s">
        <v>24</v>
      </c>
      <c r="B37" s="20">
        <v>150</v>
      </c>
      <c r="C37" s="20">
        <v>190</v>
      </c>
      <c r="D37" s="7" t="s">
        <v>52</v>
      </c>
      <c r="E37" s="10"/>
    </row>
    <row r="38" spans="1:7" x14ac:dyDescent="0.25">
      <c r="A38" s="9" t="s">
        <v>25</v>
      </c>
      <c r="B38" s="20">
        <v>37</v>
      </c>
      <c r="C38" s="20">
        <v>103</v>
      </c>
      <c r="D38" s="7" t="s">
        <v>52</v>
      </c>
      <c r="E38" s="10"/>
    </row>
    <row r="39" spans="1:7" x14ac:dyDescent="0.25">
      <c r="A39" s="9" t="s">
        <v>26</v>
      </c>
      <c r="B39" s="20">
        <v>26</v>
      </c>
      <c r="C39" s="20">
        <v>91</v>
      </c>
      <c r="D39" s="7" t="s">
        <v>52</v>
      </c>
      <c r="E39" s="10"/>
    </row>
    <row r="40" spans="1:7" x14ac:dyDescent="0.25">
      <c r="A40" s="9" t="s">
        <v>29</v>
      </c>
      <c r="B40" s="20">
        <v>20</v>
      </c>
      <c r="C40" s="20">
        <v>50</v>
      </c>
      <c r="D40" s="7" t="s">
        <v>52</v>
      </c>
      <c r="E40" s="10"/>
      <c r="F40" s="14"/>
      <c r="G40" s="14"/>
    </row>
    <row r="41" spans="1:7" x14ac:dyDescent="0.25">
      <c r="A41" s="9" t="s">
        <v>32</v>
      </c>
      <c r="B41" s="20">
        <v>150</v>
      </c>
      <c r="C41" s="20">
        <v>190</v>
      </c>
      <c r="D41" s="7" t="s">
        <v>52</v>
      </c>
      <c r="E41" s="10"/>
    </row>
    <row r="42" spans="1:7" x14ac:dyDescent="0.25">
      <c r="A42" s="9" t="s">
        <v>31</v>
      </c>
      <c r="B42" s="20">
        <v>150</v>
      </c>
      <c r="C42" s="20">
        <v>190</v>
      </c>
      <c r="D42" s="7" t="s">
        <v>52</v>
      </c>
      <c r="E42" s="10"/>
    </row>
    <row r="43" spans="1:7" x14ac:dyDescent="0.25">
      <c r="A43" s="9" t="s">
        <v>35</v>
      </c>
      <c r="B43" s="20">
        <f>3707.46-3707.46*0.1</f>
        <v>3336.7139999999999</v>
      </c>
      <c r="C43" s="20">
        <f>3707.46+3707.46*0.1</f>
        <v>4078.2060000000001</v>
      </c>
      <c r="D43" s="7" t="s">
        <v>59</v>
      </c>
      <c r="E43" s="10"/>
    </row>
    <row r="44" spans="1:7" x14ac:dyDescent="0.25">
      <c r="A44" s="9" t="s">
        <v>58</v>
      </c>
      <c r="B44" s="20">
        <v>450</v>
      </c>
      <c r="C44" s="20">
        <v>710</v>
      </c>
      <c r="D44" s="7" t="s">
        <v>52</v>
      </c>
      <c r="E44" s="10"/>
    </row>
    <row r="45" spans="1:7" x14ac:dyDescent="0.25">
      <c r="A45" s="9" t="s">
        <v>71</v>
      </c>
      <c r="B45" s="20">
        <v>2000</v>
      </c>
      <c r="C45" s="20">
        <v>4000</v>
      </c>
      <c r="D45" s="7" t="s">
        <v>50</v>
      </c>
      <c r="E45" s="10"/>
    </row>
    <row r="46" spans="1:7" x14ac:dyDescent="0.25">
      <c r="A46" s="9"/>
      <c r="B46" s="15"/>
      <c r="C46" s="15"/>
      <c r="E46" s="10"/>
    </row>
    <row r="47" spans="1:7" x14ac:dyDescent="0.25">
      <c r="A47" s="9"/>
      <c r="B47" s="15"/>
      <c r="C47" s="15"/>
      <c r="E47" s="10"/>
    </row>
    <row r="48" spans="1:7" x14ac:dyDescent="0.25">
      <c r="A48" s="9"/>
      <c r="B48" s="15"/>
      <c r="C48" s="15"/>
      <c r="E48" s="10"/>
    </row>
    <row r="49" spans="1:5" x14ac:dyDescent="0.25">
      <c r="A49" s="9"/>
      <c r="B49" s="15"/>
      <c r="C49" s="15"/>
      <c r="E49" s="10"/>
    </row>
    <row r="50" spans="1:5" x14ac:dyDescent="0.25">
      <c r="A50" s="9"/>
      <c r="B50" s="15"/>
      <c r="C50" s="15"/>
      <c r="E50" s="10"/>
    </row>
    <row r="51" spans="1:5" x14ac:dyDescent="0.25">
      <c r="A51" s="9"/>
      <c r="B51" s="15"/>
      <c r="C51" s="15"/>
      <c r="E51" s="10"/>
    </row>
    <row r="52" spans="1:5" x14ac:dyDescent="0.25">
      <c r="A52" s="8"/>
      <c r="B52" s="10"/>
      <c r="E52" s="10"/>
    </row>
    <row r="53" spans="1:5" x14ac:dyDescent="0.25">
      <c r="A53" s="8"/>
      <c r="B53" s="10"/>
      <c r="E53" s="10"/>
    </row>
    <row r="54" spans="1:5" x14ac:dyDescent="0.25">
      <c r="A54" s="8"/>
      <c r="B54" s="10"/>
      <c r="E54" s="10"/>
    </row>
    <row r="55" spans="1:5" x14ac:dyDescent="0.25">
      <c r="A55" s="8"/>
      <c r="B55" s="10"/>
      <c r="E55" s="10"/>
    </row>
    <row r="56" spans="1:5" x14ac:dyDescent="0.25">
      <c r="A56" s="8"/>
      <c r="B56" s="10"/>
      <c r="E56" s="10"/>
    </row>
    <row r="57" spans="1:5" x14ac:dyDescent="0.25">
      <c r="A57" s="8"/>
      <c r="B57" s="10"/>
      <c r="E57" s="10"/>
    </row>
    <row r="58" spans="1:5" x14ac:dyDescent="0.25">
      <c r="A58" s="8" t="s">
        <v>51</v>
      </c>
      <c r="B58" s="13" t="s">
        <v>38</v>
      </c>
      <c r="C58" s="8" t="s">
        <v>39</v>
      </c>
      <c r="D58" s="8" t="s">
        <v>49</v>
      </c>
      <c r="E58" s="10"/>
    </row>
    <row r="59" spans="1:5" x14ac:dyDescent="0.25">
      <c r="A59" s="9" t="s">
        <v>42</v>
      </c>
      <c r="B59" s="20">
        <v>0</v>
      </c>
      <c r="C59" s="20">
        <v>0</v>
      </c>
      <c r="D59" s="7" t="s">
        <v>52</v>
      </c>
      <c r="E59" s="10"/>
    </row>
    <row r="60" spans="1:5" x14ac:dyDescent="0.25">
      <c r="A60" s="9" t="s">
        <v>55</v>
      </c>
      <c r="B60" s="20">
        <v>4</v>
      </c>
      <c r="C60" s="20">
        <v>8</v>
      </c>
      <c r="D60" s="7" t="s">
        <v>52</v>
      </c>
      <c r="E60" s="10"/>
    </row>
    <row r="61" spans="1:5" x14ac:dyDescent="0.25">
      <c r="A61" s="9" t="s">
        <v>24</v>
      </c>
      <c r="B61" s="20">
        <v>23</v>
      </c>
      <c r="C61" s="20">
        <v>46</v>
      </c>
      <c r="D61" s="7" t="s">
        <v>52</v>
      </c>
      <c r="E61" s="10"/>
    </row>
    <row r="62" spans="1:5" x14ac:dyDescent="0.25">
      <c r="A62" s="9" t="s">
        <v>25</v>
      </c>
      <c r="B62" s="20">
        <v>15</v>
      </c>
      <c r="C62" s="20">
        <v>30</v>
      </c>
      <c r="D62" s="7" t="s">
        <v>52</v>
      </c>
      <c r="E62" s="10"/>
    </row>
    <row r="63" spans="1:5" x14ac:dyDescent="0.25">
      <c r="A63" s="9" t="s">
        <v>26</v>
      </c>
      <c r="B63" s="20">
        <v>15</v>
      </c>
      <c r="C63" s="20">
        <v>30</v>
      </c>
      <c r="D63" s="7" t="s">
        <v>52</v>
      </c>
      <c r="E63" s="10"/>
    </row>
    <row r="64" spans="1:5" x14ac:dyDescent="0.25">
      <c r="A64" s="9" t="s">
        <v>29</v>
      </c>
      <c r="B64" s="20">
        <v>5.5</v>
      </c>
      <c r="C64" s="20">
        <v>11</v>
      </c>
      <c r="D64" s="7" t="s">
        <v>52</v>
      </c>
      <c r="E64" s="10"/>
    </row>
    <row r="65" spans="1:5" x14ac:dyDescent="0.25">
      <c r="A65" s="9" t="s">
        <v>32</v>
      </c>
      <c r="B65" s="20">
        <v>23</v>
      </c>
      <c r="C65" s="20">
        <v>46</v>
      </c>
      <c r="D65" s="7" t="s">
        <v>52</v>
      </c>
      <c r="E65" s="10"/>
    </row>
    <row r="66" spans="1:5" x14ac:dyDescent="0.25">
      <c r="A66" s="9" t="s">
        <v>31</v>
      </c>
      <c r="B66" s="20">
        <v>23</v>
      </c>
      <c r="C66" s="20">
        <v>46</v>
      </c>
      <c r="D66" s="7" t="s">
        <v>52</v>
      </c>
      <c r="E66" s="10"/>
    </row>
    <row r="67" spans="1:5" x14ac:dyDescent="0.25">
      <c r="A67" s="9" t="s">
        <v>35</v>
      </c>
      <c r="B67" s="20">
        <v>23</v>
      </c>
      <c r="C67" s="20">
        <v>46</v>
      </c>
      <c r="D67" s="7" t="s">
        <v>52</v>
      </c>
      <c r="E67" s="10"/>
    </row>
  </sheetData>
  <sheetProtection algorithmName="SHA-512" hashValue="UFwDljnpqWh6c5k/kkBMz3rw50xNqHGOSMr2dreuyglo4gHhqAcEWFALTQ+HNG73bz9egpDmRhSCBN32Mp9cqA==" saltValue="lzPLPhwhnTdvv9kIv/X6Ww==" spinCount="100000" sheet="1" objects="1" scenarios="1"/>
  <phoneticPr fontId="2" type="noConversion"/>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4325-218D-42F8-8CFD-F4B286E632CE}">
  <sheetPr codeName="Blad2"/>
  <dimension ref="A7:F43"/>
  <sheetViews>
    <sheetView workbookViewId="0">
      <selection activeCell="J18" sqref="J18"/>
    </sheetView>
  </sheetViews>
  <sheetFormatPr defaultRowHeight="15" x14ac:dyDescent="0.25"/>
  <cols>
    <col min="1" max="1" width="11.42578125" style="3" customWidth="1"/>
    <col min="2" max="2" width="20.5703125" style="3" customWidth="1"/>
    <col min="3" max="3" width="26" style="3" customWidth="1"/>
    <col min="4" max="4" width="12.42578125" style="3" customWidth="1"/>
    <col min="5" max="16384" width="9.140625" style="3"/>
  </cols>
  <sheetData>
    <row r="7" spans="1:6" ht="18.75" x14ac:dyDescent="0.3">
      <c r="A7" s="23" t="s">
        <v>87</v>
      </c>
    </row>
    <row r="8" spans="1:6" ht="15.75" thickBot="1" x14ac:dyDescent="0.3"/>
    <row r="9" spans="1:6" ht="15.75" thickTop="1" x14ac:dyDescent="0.25">
      <c r="A9" s="26" t="s">
        <v>83</v>
      </c>
      <c r="B9" s="27" t="s">
        <v>84</v>
      </c>
      <c r="C9" s="28" t="s">
        <v>85</v>
      </c>
      <c r="D9" s="22"/>
      <c r="E9" s="31"/>
      <c r="F9" s="31"/>
    </row>
    <row r="10" spans="1:6" x14ac:dyDescent="0.25">
      <c r="A10" s="29">
        <v>1</v>
      </c>
      <c r="B10" s="77"/>
      <c r="C10" s="78"/>
      <c r="D10" s="22">
        <f>B10*C10</f>
        <v>0</v>
      </c>
      <c r="E10" s="31"/>
      <c r="F10" s="31"/>
    </row>
    <row r="11" spans="1:6" x14ac:dyDescent="0.25">
      <c r="A11" s="29">
        <v>2</v>
      </c>
      <c r="B11" s="77"/>
      <c r="C11" s="78"/>
      <c r="D11" s="22">
        <f t="shared" ref="D11:D19" si="0">B11*C11</f>
        <v>0</v>
      </c>
      <c r="E11" s="31"/>
      <c r="F11" s="31"/>
    </row>
    <row r="12" spans="1:6" x14ac:dyDescent="0.25">
      <c r="A12" s="29">
        <v>3</v>
      </c>
      <c r="B12" s="79"/>
      <c r="C12" s="80"/>
      <c r="D12" s="22">
        <f t="shared" si="0"/>
        <v>0</v>
      </c>
      <c r="E12" s="31"/>
      <c r="F12" s="31"/>
    </row>
    <row r="13" spans="1:6" x14ac:dyDescent="0.25">
      <c r="A13" s="29">
        <v>4</v>
      </c>
      <c r="B13" s="79"/>
      <c r="C13" s="80"/>
      <c r="D13" s="22">
        <f t="shared" si="0"/>
        <v>0</v>
      </c>
      <c r="E13" s="31"/>
      <c r="F13" s="31"/>
    </row>
    <row r="14" spans="1:6" x14ac:dyDescent="0.25">
      <c r="A14" s="29">
        <v>5</v>
      </c>
      <c r="B14" s="79"/>
      <c r="C14" s="80"/>
      <c r="D14" s="22">
        <f t="shared" si="0"/>
        <v>0</v>
      </c>
      <c r="E14" s="31"/>
      <c r="F14" s="31"/>
    </row>
    <row r="15" spans="1:6" x14ac:dyDescent="0.25">
      <c r="A15" s="29">
        <v>6</v>
      </c>
      <c r="B15" s="79"/>
      <c r="C15" s="80"/>
      <c r="D15" s="22">
        <f t="shared" si="0"/>
        <v>0</v>
      </c>
      <c r="E15" s="31"/>
      <c r="F15" s="31"/>
    </row>
    <row r="16" spans="1:6" x14ac:dyDescent="0.25">
      <c r="A16" s="29">
        <v>7</v>
      </c>
      <c r="B16" s="79"/>
      <c r="C16" s="80"/>
      <c r="D16" s="22">
        <f t="shared" si="0"/>
        <v>0</v>
      </c>
      <c r="E16" s="31"/>
      <c r="F16" s="31"/>
    </row>
    <row r="17" spans="1:6" x14ac:dyDescent="0.25">
      <c r="A17" s="29">
        <v>8</v>
      </c>
      <c r="B17" s="79"/>
      <c r="C17" s="80"/>
      <c r="D17" s="22">
        <f t="shared" si="0"/>
        <v>0</v>
      </c>
      <c r="E17" s="31"/>
      <c r="F17" s="31"/>
    </row>
    <row r="18" spans="1:6" x14ac:dyDescent="0.25">
      <c r="A18" s="29">
        <v>9</v>
      </c>
      <c r="B18" s="79"/>
      <c r="C18" s="80"/>
      <c r="D18" s="22">
        <f t="shared" si="0"/>
        <v>0</v>
      </c>
      <c r="E18" s="31"/>
      <c r="F18" s="31"/>
    </row>
    <row r="19" spans="1:6" ht="15.75" thickBot="1" x14ac:dyDescent="0.3">
      <c r="A19" s="30">
        <v>10</v>
      </c>
      <c r="B19" s="81"/>
      <c r="C19" s="82"/>
      <c r="D19" s="22">
        <f t="shared" si="0"/>
        <v>0</v>
      </c>
      <c r="E19" s="31"/>
      <c r="F19" s="31"/>
    </row>
    <row r="20" spans="1:6" ht="16.5" thickTop="1" thickBot="1" x14ac:dyDescent="0.3">
      <c r="A20" s="21" t="s">
        <v>86</v>
      </c>
      <c r="B20" s="24"/>
      <c r="C20" s="25" t="str">
        <f>IFERROR((SUM(D10:D19)/SUM(B10:B19)),"")</f>
        <v/>
      </c>
      <c r="D20" s="22"/>
      <c r="E20" s="31"/>
      <c r="F20" s="31"/>
    </row>
    <row r="21" spans="1:6" ht="15.75" thickTop="1" x14ac:dyDescent="0.25">
      <c r="A21" s="1"/>
      <c r="B21" s="1"/>
      <c r="C21" s="1"/>
    </row>
    <row r="29" spans="1:6" ht="18.75" x14ac:dyDescent="0.3">
      <c r="A29" s="23" t="s">
        <v>89</v>
      </c>
    </row>
    <row r="30" spans="1:6" ht="15.75" thickBot="1" x14ac:dyDescent="0.3"/>
    <row r="31" spans="1:6" ht="15.75" thickTop="1" x14ac:dyDescent="0.25">
      <c r="A31" s="26" t="s">
        <v>83</v>
      </c>
      <c r="B31" s="27" t="s">
        <v>84</v>
      </c>
      <c r="C31" s="28" t="s">
        <v>88</v>
      </c>
      <c r="D31" s="22"/>
      <c r="E31" s="31"/>
    </row>
    <row r="32" spans="1:6" x14ac:dyDescent="0.25">
      <c r="A32" s="29">
        <v>1</v>
      </c>
      <c r="B32" s="77"/>
      <c r="C32" s="78"/>
      <c r="D32" s="22" t="str">
        <f>IFERROR(B32*(1/C32),"")</f>
        <v/>
      </c>
      <c r="E32" s="31"/>
    </row>
    <row r="33" spans="1:5" x14ac:dyDescent="0.25">
      <c r="A33" s="29">
        <v>2</v>
      </c>
      <c r="B33" s="77"/>
      <c r="C33" s="78"/>
      <c r="D33" s="22" t="str">
        <f t="shared" ref="D33:D41" si="1">IFERROR(B33*(1/C33),"")</f>
        <v/>
      </c>
      <c r="E33" s="31"/>
    </row>
    <row r="34" spans="1:5" x14ac:dyDescent="0.25">
      <c r="A34" s="29">
        <v>3</v>
      </c>
      <c r="B34" s="79"/>
      <c r="C34" s="80"/>
      <c r="D34" s="22" t="str">
        <f t="shared" si="1"/>
        <v/>
      </c>
      <c r="E34" s="31"/>
    </row>
    <row r="35" spans="1:5" x14ac:dyDescent="0.25">
      <c r="A35" s="29">
        <v>4</v>
      </c>
      <c r="B35" s="79"/>
      <c r="C35" s="80"/>
      <c r="D35" s="22" t="str">
        <f t="shared" si="1"/>
        <v/>
      </c>
      <c r="E35" s="31"/>
    </row>
    <row r="36" spans="1:5" x14ac:dyDescent="0.25">
      <c r="A36" s="29">
        <v>5</v>
      </c>
      <c r="B36" s="79"/>
      <c r="C36" s="80"/>
      <c r="D36" s="22" t="str">
        <f t="shared" si="1"/>
        <v/>
      </c>
      <c r="E36" s="31"/>
    </row>
    <row r="37" spans="1:5" x14ac:dyDescent="0.25">
      <c r="A37" s="29">
        <v>6</v>
      </c>
      <c r="B37" s="79"/>
      <c r="C37" s="80"/>
      <c r="D37" s="22" t="str">
        <f t="shared" si="1"/>
        <v/>
      </c>
      <c r="E37" s="31"/>
    </row>
    <row r="38" spans="1:5" x14ac:dyDescent="0.25">
      <c r="A38" s="29">
        <v>7</v>
      </c>
      <c r="B38" s="79"/>
      <c r="C38" s="80"/>
      <c r="D38" s="22" t="str">
        <f t="shared" si="1"/>
        <v/>
      </c>
      <c r="E38" s="31"/>
    </row>
    <row r="39" spans="1:5" x14ac:dyDescent="0.25">
      <c r="A39" s="29">
        <v>8</v>
      </c>
      <c r="B39" s="79"/>
      <c r="C39" s="80"/>
      <c r="D39" s="22" t="str">
        <f t="shared" si="1"/>
        <v/>
      </c>
      <c r="E39" s="31"/>
    </row>
    <row r="40" spans="1:5" x14ac:dyDescent="0.25">
      <c r="A40" s="29">
        <v>9</v>
      </c>
      <c r="B40" s="79"/>
      <c r="C40" s="80"/>
      <c r="D40" s="22" t="str">
        <f t="shared" si="1"/>
        <v/>
      </c>
      <c r="E40" s="31"/>
    </row>
    <row r="41" spans="1:5" ht="15.75" thickBot="1" x14ac:dyDescent="0.3">
      <c r="A41" s="30">
        <v>10</v>
      </c>
      <c r="B41" s="81"/>
      <c r="C41" s="82"/>
      <c r="D41" s="22" t="str">
        <f t="shared" si="1"/>
        <v/>
      </c>
      <c r="E41" s="31"/>
    </row>
    <row r="42" spans="1:5" ht="16.5" thickTop="1" thickBot="1" x14ac:dyDescent="0.3">
      <c r="A42" s="21" t="s">
        <v>86</v>
      </c>
      <c r="B42" s="24"/>
      <c r="C42" s="25" t="str">
        <f>IFERROR(1/((SUM(D32:D41)/SUM(B32:B41))),"")</f>
        <v/>
      </c>
      <c r="D42" s="22"/>
      <c r="E42" s="31"/>
    </row>
    <row r="43" spans="1:5" ht="15.75" thickTop="1" x14ac:dyDescent="0.25">
      <c r="A43" s="1"/>
      <c r="B43" s="1"/>
      <c r="C43" s="1"/>
    </row>
  </sheetData>
  <sheetProtection algorithmName="SHA-512" hashValue="7hwoai8DEMvPatDiUf0q3t5ac2F98t4Pddv8uuZinYbzuRUyow40XQVAIFmw8rUAOuYnh0qOjbIITE0jZnBVWg==" saltValue="opqtc9QDsAPFNV2DyUlY1Q==" spinCount="100000" sheet="1" objects="1" scenarios="1"/>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6AB34-A0E3-4AFB-B8B3-47873B6F8D6F}">
  <sheetPr codeName="Blad3"/>
  <dimension ref="A8:K93"/>
  <sheetViews>
    <sheetView tabSelected="1" workbookViewId="0">
      <selection activeCell="K75" sqref="K75"/>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17</v>
      </c>
    </row>
    <row r="9" spans="1:3" x14ac:dyDescent="0.25">
      <c r="A9" s="4" t="s">
        <v>7</v>
      </c>
      <c r="B9" s="74" t="s">
        <v>8</v>
      </c>
    </row>
    <row r="10" spans="1:3" x14ac:dyDescent="0.25">
      <c r="A10" s="4" t="s">
        <v>9</v>
      </c>
      <c r="B10" s="74">
        <v>1972</v>
      </c>
    </row>
    <row r="11" spans="1:3" x14ac:dyDescent="0.25">
      <c r="A11" s="4" t="s">
        <v>10</v>
      </c>
      <c r="B11" s="74">
        <v>1.36</v>
      </c>
    </row>
    <row r="12" spans="1:3" x14ac:dyDescent="0.25">
      <c r="A12" s="4" t="s">
        <v>11</v>
      </c>
      <c r="B12" s="74">
        <v>132</v>
      </c>
      <c r="C12" s="3" t="s">
        <v>3</v>
      </c>
    </row>
    <row r="13" spans="1:3" x14ac:dyDescent="0.25">
      <c r="A13" s="4" t="s">
        <v>12</v>
      </c>
      <c r="B13" s="74" t="s">
        <v>5</v>
      </c>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18</v>
      </c>
    </row>
    <row r="22" spans="1:3" x14ac:dyDescent="0.25">
      <c r="A22" s="4" t="s">
        <v>13</v>
      </c>
      <c r="B22" s="74">
        <v>161.30000000000001</v>
      </c>
      <c r="C22" s="3" t="s">
        <v>14</v>
      </c>
    </row>
    <row r="23" spans="1:3" x14ac:dyDescent="0.25">
      <c r="A23" s="4" t="s">
        <v>15</v>
      </c>
      <c r="B23" s="74">
        <v>125.75</v>
      </c>
      <c r="C23" s="3" t="s">
        <v>14</v>
      </c>
    </row>
    <row r="24" spans="1:3" x14ac:dyDescent="0.25">
      <c r="A24" s="4" t="s">
        <v>44</v>
      </c>
      <c r="B24" s="2">
        <f>60+105*(B11-1)</f>
        <v>97.800000000000011</v>
      </c>
      <c r="C24" s="3" t="s">
        <v>14</v>
      </c>
    </row>
    <row r="25" spans="1:3" x14ac:dyDescent="0.25">
      <c r="A25" s="4" t="s">
        <v>45</v>
      </c>
      <c r="B25" s="2">
        <f>43+40*(B11-1)</f>
        <v>57.400000000000006</v>
      </c>
      <c r="C25" s="3" t="s">
        <v>14</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19</v>
      </c>
    </row>
    <row r="45" spans="1:3" x14ac:dyDescent="0.25">
      <c r="A45" s="4" t="s">
        <v>16</v>
      </c>
      <c r="B45" s="74">
        <f>1.2+28.4+0.2+19.1</f>
        <v>48.9</v>
      </c>
      <c r="C45" s="3" t="s">
        <v>3</v>
      </c>
    </row>
    <row r="46" spans="1:3" x14ac:dyDescent="0.25">
      <c r="A46" s="4" t="s">
        <v>24</v>
      </c>
      <c r="B46" s="74">
        <v>0.5</v>
      </c>
      <c r="C46" s="3" t="s">
        <v>3</v>
      </c>
    </row>
    <row r="47" spans="1:3" x14ac:dyDescent="0.25">
      <c r="A47" s="4" t="s">
        <v>25</v>
      </c>
      <c r="B47" s="74">
        <v>45</v>
      </c>
      <c r="C47" s="3" t="s">
        <v>3</v>
      </c>
    </row>
    <row r="48" spans="1:3" x14ac:dyDescent="0.25">
      <c r="A48" s="4" t="s">
        <v>26</v>
      </c>
      <c r="B48" s="74">
        <v>14.2</v>
      </c>
      <c r="C48" s="3" t="s">
        <v>3</v>
      </c>
    </row>
    <row r="49" spans="1:11" x14ac:dyDescent="0.25">
      <c r="A49" s="4" t="s">
        <v>29</v>
      </c>
      <c r="B49" s="74">
        <v>53.6</v>
      </c>
      <c r="C49" s="3" t="s">
        <v>3</v>
      </c>
    </row>
    <row r="50" spans="1:11" x14ac:dyDescent="0.25">
      <c r="A50" s="4" t="s">
        <v>32</v>
      </c>
      <c r="B50" s="74">
        <f>4.5+1.9+0.8+0.8+0.8+6.1+0.2</f>
        <v>15.1</v>
      </c>
      <c r="C50" s="3" t="s">
        <v>3</v>
      </c>
    </row>
    <row r="51" spans="1:11" x14ac:dyDescent="0.25">
      <c r="A51" s="4" t="s">
        <v>31</v>
      </c>
      <c r="B51" s="74">
        <f>6.1+6.3+3.2</f>
        <v>15.599999999999998</v>
      </c>
      <c r="C51" s="3" t="s">
        <v>3</v>
      </c>
    </row>
    <row r="52" spans="1:11" x14ac:dyDescent="0.25">
      <c r="A52" s="4" t="s">
        <v>60</v>
      </c>
      <c r="B52" s="74">
        <f>1.7</f>
        <v>1.7</v>
      </c>
      <c r="C52" s="3" t="s">
        <v>3</v>
      </c>
    </row>
    <row r="53" spans="1:11" x14ac:dyDescent="0.25">
      <c r="A53" s="4" t="s">
        <v>61</v>
      </c>
      <c r="B53" s="74">
        <v>1.6</v>
      </c>
      <c r="C53" s="3" t="s">
        <v>3</v>
      </c>
    </row>
    <row r="54" spans="1:11" x14ac:dyDescent="0.25">
      <c r="A54" s="4" t="s">
        <v>62</v>
      </c>
      <c r="B54" s="74">
        <v>0</v>
      </c>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20</v>
      </c>
      <c r="B61" s="5" t="s">
        <v>36</v>
      </c>
      <c r="E61" s="5" t="s">
        <v>76</v>
      </c>
      <c r="H61" s="1" t="s">
        <v>41</v>
      </c>
    </row>
    <row r="62" spans="1:11" x14ac:dyDescent="0.25">
      <c r="A62" s="4" t="s">
        <v>21</v>
      </c>
      <c r="B62" s="74">
        <v>0.43</v>
      </c>
      <c r="C62" s="3" t="s">
        <v>22</v>
      </c>
      <c r="E62" s="74">
        <v>1.4</v>
      </c>
      <c r="F62" s="3" t="s">
        <v>22</v>
      </c>
      <c r="H62" s="2">
        <v>6</v>
      </c>
      <c r="I62" s="3" t="s">
        <v>22</v>
      </c>
      <c r="K62" s="87">
        <f>(1/$B62)*$B45*(Uitgangspunten!$B$8/Uitgangspunten!$B$9)*24*365.25/1000/$B$12</f>
        <v>54.340409302325583</v>
      </c>
    </row>
    <row r="63" spans="1:11" x14ac:dyDescent="0.25">
      <c r="A63" s="4" t="s">
        <v>23</v>
      </c>
      <c r="B63" s="74">
        <v>2.4</v>
      </c>
      <c r="C63" s="3" t="s">
        <v>4</v>
      </c>
      <c r="E63" s="74">
        <v>1.1000000000000001</v>
      </c>
      <c r="F63" s="3" t="s">
        <v>4</v>
      </c>
      <c r="H63" s="2">
        <v>1.4</v>
      </c>
      <c r="I63" s="3" t="s">
        <v>4</v>
      </c>
      <c r="K63" s="87">
        <f>($B63)*$B46*(Uitgangspunten!$B$8/Uitgangspunten!$B$9)*24*365.25/1000/$B$12</f>
        <v>0.57340800000000003</v>
      </c>
    </row>
    <row r="64" spans="1:11" x14ac:dyDescent="0.25">
      <c r="A64" s="4" t="s">
        <v>27</v>
      </c>
      <c r="B64" s="74">
        <v>3.85</v>
      </c>
      <c r="C64" s="3" t="s">
        <v>22</v>
      </c>
      <c r="E64" s="74">
        <v>3.85</v>
      </c>
      <c r="F64" s="3" t="s">
        <v>22</v>
      </c>
      <c r="H64" s="2">
        <v>8</v>
      </c>
      <c r="I64" s="3" t="s">
        <v>22</v>
      </c>
      <c r="K64" s="87">
        <f>(1/$B64)*$B47*(Uitgangspunten!$B$8/Uitgangspunten!$B$9)*24*365.25/1000/$B$12</f>
        <v>5.5851428571428556</v>
      </c>
    </row>
    <row r="65" spans="1:11" x14ac:dyDescent="0.25">
      <c r="A65" s="4" t="s">
        <v>28</v>
      </c>
      <c r="B65" s="75">
        <v>2</v>
      </c>
      <c r="C65" s="3" t="s">
        <v>22</v>
      </c>
      <c r="E65" s="74">
        <v>4</v>
      </c>
      <c r="F65" s="3" t="s">
        <v>22</v>
      </c>
      <c r="H65" s="2">
        <v>8</v>
      </c>
      <c r="I65" s="3" t="s">
        <v>22</v>
      </c>
      <c r="K65" s="87">
        <f>(1/$B65)*$B48*(Uitgangspunten!$B$8/Uitgangspunten!$B$9)*24*365.25/1000/$B$12</f>
        <v>3.3926639999999995</v>
      </c>
    </row>
    <row r="66" spans="1:11" x14ac:dyDescent="0.25">
      <c r="A66" s="4" t="s">
        <v>30</v>
      </c>
      <c r="B66" s="75">
        <v>3.75</v>
      </c>
      <c r="C66" s="3" t="s">
        <v>22</v>
      </c>
      <c r="E66" s="74">
        <v>3.75</v>
      </c>
      <c r="F66" s="3" t="s">
        <v>22</v>
      </c>
      <c r="H66" s="2">
        <v>3.5</v>
      </c>
      <c r="I66" s="3" t="s">
        <v>22</v>
      </c>
      <c r="K66" s="87">
        <f>(1/$B66)*$B49*(Uitgangspunten!$B$8/Uitgangspunten!$B$9)*24*365.25/1000/$B$12</f>
        <v>6.8299263999999988</v>
      </c>
    </row>
    <row r="67" spans="1:11" x14ac:dyDescent="0.25">
      <c r="A67" s="4" t="s">
        <v>33</v>
      </c>
      <c r="B67" s="75">
        <v>2.52</v>
      </c>
      <c r="C67" s="3" t="s">
        <v>4</v>
      </c>
      <c r="E67" s="74">
        <v>1.1000000000000001</v>
      </c>
      <c r="F67" s="3" t="s">
        <v>4</v>
      </c>
      <c r="H67" s="2">
        <v>1</v>
      </c>
      <c r="I67" s="3" t="s">
        <v>4</v>
      </c>
      <c r="K67" s="87">
        <f>($B67)*$B50*(Uitgangspunten!$B$8/Uitgangspunten!$B$9)*24*365.25/1000/$B$12</f>
        <v>18.182767679999994</v>
      </c>
    </row>
    <row r="68" spans="1:11" x14ac:dyDescent="0.25">
      <c r="A68" s="4" t="s">
        <v>34</v>
      </c>
      <c r="B68" s="74">
        <v>2.9</v>
      </c>
      <c r="C68" s="3" t="s">
        <v>4</v>
      </c>
      <c r="E68" s="74">
        <v>1.1000000000000001</v>
      </c>
      <c r="F68" s="3" t="s">
        <v>4</v>
      </c>
      <c r="H68" s="2">
        <v>1</v>
      </c>
      <c r="I68" s="3" t="s">
        <v>4</v>
      </c>
      <c r="K68" s="87">
        <f>($B68)*$B51*(Uitgangspunten!$B$8/Uitgangspunten!$B$9)*24*365.25/1000/$B$12</f>
        <v>21.617481599999994</v>
      </c>
    </row>
    <row r="69" spans="1:11" x14ac:dyDescent="0.25">
      <c r="A69" s="4" t="s">
        <v>63</v>
      </c>
      <c r="B69" s="74">
        <v>3.4</v>
      </c>
      <c r="C69" s="3" t="s">
        <v>4</v>
      </c>
      <c r="E69" s="74">
        <v>3.4</v>
      </c>
      <c r="F69" s="3" t="s">
        <v>4</v>
      </c>
      <c r="H69" s="2">
        <v>1.4</v>
      </c>
      <c r="I69" s="3" t="s">
        <v>4</v>
      </c>
      <c r="K69" s="87">
        <f>($B69)*$B52*(Uitgangspunten!$B$8/Uitgangspunten!$B$9)*24*365.25/1000/$B$12</f>
        <v>2.7619151999999989</v>
      </c>
    </row>
    <row r="70" spans="1:11" x14ac:dyDescent="0.25">
      <c r="A70" s="4" t="s">
        <v>64</v>
      </c>
      <c r="B70" s="74">
        <v>3.4</v>
      </c>
      <c r="C70" s="3" t="s">
        <v>4</v>
      </c>
      <c r="E70" s="74">
        <v>3.4</v>
      </c>
      <c r="F70" s="3" t="s">
        <v>4</v>
      </c>
      <c r="H70" s="2">
        <v>1.4</v>
      </c>
      <c r="I70" s="3" t="s">
        <v>4</v>
      </c>
      <c r="K70" s="87">
        <f>($B70)*$B53*(Uitgangspunten!$B$8/Uitgangspunten!$B$9)*24*365.25/1000/$B$12</f>
        <v>2.5994496000000002</v>
      </c>
    </row>
    <row r="71" spans="1:11" x14ac:dyDescent="0.25">
      <c r="A71" s="4" t="s">
        <v>65</v>
      </c>
      <c r="B71" s="74"/>
      <c r="C71" s="3" t="s">
        <v>4</v>
      </c>
      <c r="E71" s="74"/>
      <c r="F71" s="3" t="s">
        <v>4</v>
      </c>
      <c r="H71" s="2">
        <v>1.4</v>
      </c>
      <c r="I71" s="3" t="s">
        <v>4</v>
      </c>
      <c r="K71" s="87">
        <f>($B71)*$B54*(Uitgangspunten!$B$8/Uitgangspunten!$B$9)*24*365.25/1000/$B$12</f>
        <v>0</v>
      </c>
    </row>
    <row r="72" spans="1:11" x14ac:dyDescent="0.25">
      <c r="A72" s="4"/>
      <c r="H72" s="2"/>
      <c r="K72" s="87">
        <f>SUM(K62:K71)</f>
        <v>115.88316463946843</v>
      </c>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56</v>
      </c>
    </row>
    <row r="91" spans="1:2" x14ac:dyDescent="0.25">
      <c r="A91" s="4" t="s">
        <v>43</v>
      </c>
      <c r="B91" s="74" t="s">
        <v>47</v>
      </c>
    </row>
    <row r="92" spans="1:2" x14ac:dyDescent="0.25">
      <c r="A92" s="4" t="s">
        <v>57</v>
      </c>
      <c r="B92" s="74" t="s">
        <v>46</v>
      </c>
    </row>
    <row r="93" spans="1:2" x14ac:dyDescent="0.25">
      <c r="A93" s="4" t="s">
        <v>75</v>
      </c>
      <c r="B93" s="76">
        <f>'Invoer - Damhertlaan'!B49/'Invoer - Damhertlaan'!B12</f>
        <v>0.40606060606060607</v>
      </c>
    </row>
  </sheetData>
  <sheetProtection algorithmName="SHA-512" hashValue="ID+Kf5Dfva5fyMdySZNy5L9rvlhKEf9HLOxfcFjriCrN935oa5RpoWDoFFtmjfLVgHRYbYct/YLbGsk0O9Fxfg==" saltValue="gECo4Bu0cNsf5QluwnJrOA==" spinCount="100000" sheet="1" objects="1" scenarios="1"/>
  <phoneticPr fontId="2" type="noConversion"/>
  <pageMargins left="0.7" right="0.7" top="0.75" bottom="0.75" header="0.3" footer="0.3"/>
  <pageSetup paperSize="9" orientation="portrait" r:id="rId1"/>
  <ignoredErrors>
    <ignoredError sqref="K63"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40FD281-8E5C-4C44-BB07-4BAEAAE435EF}">
          <x14:formula1>
            <xm:f>Lijsten!$A$1:$A$5</xm:f>
          </x14:formula1>
          <xm:sqref>B13</xm:sqref>
        </x14:dataValidation>
        <x14:dataValidation type="list" allowBlank="1" showInputMessage="1" showErrorMessage="1" xr:uid="{410130E4-BD5C-4BF0-BBAF-1CF8336C4546}">
          <x14:formula1>
            <xm:f>Lijsten!$C$1:$C$3</xm:f>
          </x14:formula1>
          <xm:sqref>B91</xm:sqref>
        </x14:dataValidation>
        <x14:dataValidation type="list" allowBlank="1" showInputMessage="1" showErrorMessage="1" xr:uid="{06358377-7563-45D9-AE4F-B031F2DA981E}">
          <x14:formula1>
            <xm:f>Lijsten!$C$1:$C$2</xm:f>
          </x14:formula1>
          <xm:sqref>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C5020-07D1-4568-B250-D2C2B1FFB02B}">
  <sheetPr codeName="Blad4"/>
  <dimension ref="A1:K36"/>
  <sheetViews>
    <sheetView topLeftCell="A9" workbookViewId="0">
      <selection activeCell="F74" sqref="F74"/>
    </sheetView>
  </sheetViews>
  <sheetFormatPr defaultRowHeight="15" x14ac:dyDescent="0.25"/>
  <cols>
    <col min="1" max="1" width="36.140625" style="32" bestFit="1" customWidth="1"/>
    <col min="2" max="2" width="12.7109375" style="32" customWidth="1"/>
    <col min="3" max="3" width="13.28515625" style="32" customWidth="1"/>
    <col min="4" max="4" width="3" style="32" customWidth="1"/>
    <col min="5" max="6" width="16" style="32" customWidth="1"/>
    <col min="7" max="7" width="4.5703125" style="32" customWidth="1"/>
    <col min="8" max="8" width="19.28515625" style="32" customWidth="1"/>
    <col min="9" max="9" width="21" style="32" customWidth="1"/>
    <col min="10" max="16384" width="9.140625" style="32"/>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3"/>
    </row>
    <row r="9" spans="1:9" ht="15.75" customHeight="1" x14ac:dyDescent="0.35">
      <c r="A9" s="33"/>
    </row>
    <row r="10" spans="1:9" ht="15.75" customHeight="1" x14ac:dyDescent="0.35">
      <c r="A10" s="33"/>
    </row>
    <row r="11" spans="1:9" ht="15.75" customHeight="1" thickBot="1" x14ac:dyDescent="0.4">
      <c r="A11" s="33"/>
    </row>
    <row r="12" spans="1:9" ht="31.5" customHeight="1" thickTop="1" x14ac:dyDescent="0.25">
      <c r="A12" s="34"/>
      <c r="B12" s="83" t="s">
        <v>37</v>
      </c>
      <c r="C12" s="84"/>
      <c r="D12" s="35"/>
      <c r="E12" s="85" t="s">
        <v>73</v>
      </c>
      <c r="F12" s="86"/>
      <c r="G12" s="35"/>
      <c r="H12" s="83" t="s">
        <v>40</v>
      </c>
      <c r="I12" s="84"/>
    </row>
    <row r="13" spans="1:9" s="42" customFormat="1" ht="49.5" customHeight="1" thickBot="1" x14ac:dyDescent="0.3">
      <c r="A13" s="36" t="s">
        <v>82</v>
      </c>
      <c r="B13" s="37" t="s">
        <v>38</v>
      </c>
      <c r="C13" s="38" t="s">
        <v>39</v>
      </c>
      <c r="D13" s="39"/>
      <c r="E13" s="37" t="s">
        <v>38</v>
      </c>
      <c r="F13" s="38" t="s">
        <v>39</v>
      </c>
      <c r="G13" s="39"/>
      <c r="H13" s="40" t="s">
        <v>54</v>
      </c>
      <c r="I13" s="41" t="s">
        <v>90</v>
      </c>
    </row>
    <row r="14" spans="1:9" ht="15.75" thickTop="1" x14ac:dyDescent="0.25">
      <c r="A14" s="43" t="s">
        <v>42</v>
      </c>
      <c r="B14" s="44">
        <f>IF('Invoer - Damhertlaan'!$B$91="Nee",370,0)</f>
        <v>0</v>
      </c>
      <c r="C14" s="45">
        <f>IF('Invoer - Damhertlaan'!$B$91="Nee",2700,IF('Invoer - Damhertlaan'!$B$91="Onbekend",2700,0))</f>
        <v>2700</v>
      </c>
      <c r="D14" s="46"/>
      <c r="E14" s="44">
        <f>IF('Invoer - Damhertlaan'!$B61&lt;&gt;'Invoer - Damhertlaan'!$E61,Uitgangspunten!$B59*'Invoer - Damhertlaan'!$B44,"")</f>
        <v>0</v>
      </c>
      <c r="F14" s="45">
        <f>IF('Invoer - Damhertlaan'!$B61&lt;&gt;'Invoer - Damhertlaan'!$E61,Uitgangspunten!$C59*'Invoer - Damhertlaan'!$B44,"")</f>
        <v>0</v>
      </c>
      <c r="G14" s="47"/>
      <c r="H14" s="48">
        <f>IF(C14&lt;&gt;0,I14*9.8/'Invoer - Damhertlaan'!B12,"")</f>
        <v>3.7121212121212124</v>
      </c>
      <c r="I14" s="49">
        <f>IF(C14&lt;&gt;0,50,"")</f>
        <v>50</v>
      </c>
    </row>
    <row r="15" spans="1:9" x14ac:dyDescent="0.25">
      <c r="A15" s="50" t="s">
        <v>16</v>
      </c>
      <c r="B15" s="51">
        <f>IF('Invoer - Damhertlaan'!$B62&lt;&gt;'Invoer - Damhertlaan'!$E62,Uitgangspunten!$B36*'Invoer - Damhertlaan'!$B45,"")</f>
        <v>1012.2299999999999</v>
      </c>
      <c r="C15" s="52">
        <f>IF('Invoer - Damhertlaan'!$B62&lt;&gt;'Invoer - Damhertlaan'!$E62,Uitgangspunten!$C36*'Invoer - Damhertlaan'!$B45,"")</f>
        <v>1237.17</v>
      </c>
      <c r="D15" s="53"/>
      <c r="E15" s="51">
        <f>IF('Invoer - Damhertlaan'!$B62&lt;&gt;'Invoer - Damhertlaan'!$E62,Uitgangspunten!$B60*'Invoer - Damhertlaan'!$B45,"")</f>
        <v>195.6</v>
      </c>
      <c r="F15" s="52">
        <f>IF('Invoer - Damhertlaan'!$B62&lt;&gt;'Invoer - Damhertlaan'!$E62,Uitgangspunten!$C60*'Invoer - Damhertlaan'!$B45,"")</f>
        <v>391.2</v>
      </c>
      <c r="G15" s="54"/>
      <c r="H15" s="55">
        <f>IF('Invoer - Damhertlaan'!$B62&lt;&gt;'Invoer - Damhertlaan'!$E62,(1/'Invoer - Damhertlaan'!$B62)*'Invoer - Damhertlaan'!$B45*(Uitgangspunten!$B$8/Uitgangspunten!$B$9)*24*365.25/1000/'Invoer - Damhertlaan'!$B$12-(1/'Invoer - Damhertlaan'!$E62)*'Invoer - Damhertlaan'!$B45*(Uitgangspunten!$B$8/Uitgangspunten!$B$9)*24*365.25/1000/'Invoer - Damhertlaan'!$B$12,"")</f>
        <v>37.650140730897007</v>
      </c>
      <c r="I15" s="56">
        <f>IF(H15&lt;&gt;"",H15*'Invoer - Damhertlaan'!$B$12/9.8,"")</f>
        <v>507.12434453861272</v>
      </c>
    </row>
    <row r="16" spans="1:9" x14ac:dyDescent="0.25">
      <c r="A16" s="50" t="s">
        <v>24</v>
      </c>
      <c r="B16" s="51">
        <f>IF('Invoer - Damhertlaan'!$B63&lt;&gt;'Invoer - Damhertlaan'!$E63,Uitgangspunten!$B37*'Invoer - Damhertlaan'!$B46,"")</f>
        <v>75</v>
      </c>
      <c r="C16" s="52">
        <f>IF('Invoer - Damhertlaan'!$B63&lt;&gt;'Invoer - Damhertlaan'!$E63,Uitgangspunten!$C37*'Invoer - Damhertlaan'!$B46,"")</f>
        <v>95</v>
      </c>
      <c r="D16" s="53"/>
      <c r="E16" s="51">
        <f>IF('Invoer - Damhertlaan'!$B63&lt;&gt;'Invoer - Damhertlaan'!$E63,Uitgangspunten!$B61*'Invoer - Damhertlaan'!$B46,"")</f>
        <v>11.5</v>
      </c>
      <c r="F16" s="52">
        <f>IF('Invoer - Damhertlaan'!$B63&lt;&gt;'Invoer - Damhertlaan'!$E63,Uitgangspunten!$C61*'Invoer - Damhertlaan'!$B46,"")</f>
        <v>23</v>
      </c>
      <c r="G16" s="54"/>
      <c r="H16" s="55">
        <f>IF('Invoer - Damhertlaan'!$B63&lt;&gt;'Invoer - Damhertlaan'!$E63,('Invoer - Damhertlaan'!$B63)*'Invoer - Damhertlaan'!$B46*(Uitgangspunten!$B$8/Uitgangspunten!$B$9)*24*365.25/1000/'Invoer - Damhertlaan'!$B$12-('Invoer - Damhertlaan'!$E63)*'Invoer - Damhertlaan'!$B46*(Uitgangspunten!$B$8/Uitgangspunten!$B$9)*24*365.25/1000/'Invoer - Damhertlaan'!$B$12,"")</f>
        <v>0.31059600000000004</v>
      </c>
      <c r="I16" s="56">
        <f>IF(H16&lt;&gt;"",H16*'Invoer - Damhertlaan'!$B$12/9.8,"")</f>
        <v>4.1835379591836741</v>
      </c>
    </row>
    <row r="17" spans="1:11" x14ac:dyDescent="0.25">
      <c r="A17" s="50" t="s">
        <v>25</v>
      </c>
      <c r="B17" s="51" t="str">
        <f>IF('Invoer - Damhertlaan'!$B64&lt;&gt;'Invoer - Damhertlaan'!$E64,Uitgangspunten!$B38*'Invoer - Damhertlaan'!$B47,"")</f>
        <v/>
      </c>
      <c r="C17" s="52" t="str">
        <f>IF('Invoer - Damhertlaan'!$B64&lt;&gt;'Invoer - Damhertlaan'!$E64,Uitgangspunten!$C38*'Invoer - Damhertlaan'!$B47,"")</f>
        <v/>
      </c>
      <c r="D17" s="53"/>
      <c r="E17" s="51" t="str">
        <f>IF('Invoer - Damhertlaan'!$B64&lt;&gt;'Invoer - Damhertlaan'!$E64,Uitgangspunten!$B62*'Invoer - Damhertlaan'!$B47,"")</f>
        <v/>
      </c>
      <c r="F17" s="52" t="str">
        <f>IF('Invoer - Damhertlaan'!$B64&lt;&gt;'Invoer - Damhertlaan'!$E64,Uitgangspunten!$C62*'Invoer - Damhertlaan'!$B47,"")</f>
        <v/>
      </c>
      <c r="G17" s="54"/>
      <c r="H17" s="55" t="str">
        <f>IF('Invoer - Damhertlaan'!$B64&lt;&gt;'Invoer - Damhertlaan'!$E64,(1/'Invoer - Damhertlaan'!$B64)*'Invoer - Damhertlaan'!$B47*(Uitgangspunten!$B$8/Uitgangspunten!$B$9)*24*365.25/1000/'Invoer - Damhertlaan'!$B$12-(1/'Invoer - Damhertlaan'!$E64)*'Invoer - Damhertlaan'!$B47*(Uitgangspunten!$B$8/Uitgangspunten!$B$9)*24*365.25/1000/'Invoer - Damhertlaan'!$B$12,"")</f>
        <v/>
      </c>
      <c r="I17" s="56" t="str">
        <f>IF(H17&lt;&gt;"",H17*'Invoer - Damhertlaan'!$B$12/9.8,"")</f>
        <v/>
      </c>
    </row>
    <row r="18" spans="1:11" x14ac:dyDescent="0.25">
      <c r="A18" s="50" t="s">
        <v>26</v>
      </c>
      <c r="B18" s="51">
        <f>IF('Invoer - Damhertlaan'!$B65&lt;&gt;'Invoer - Damhertlaan'!$E65,Uitgangspunten!$B39*'Invoer - Damhertlaan'!$B48,"")</f>
        <v>369.2</v>
      </c>
      <c r="C18" s="52">
        <f>IF('Invoer - Damhertlaan'!$B65&lt;&gt;'Invoer - Damhertlaan'!$E65,Uitgangspunten!$C39*'Invoer - Damhertlaan'!$B48,"")</f>
        <v>1292.2</v>
      </c>
      <c r="D18" s="53"/>
      <c r="E18" s="51">
        <f>IF('Invoer - Damhertlaan'!$B65&lt;&gt;'Invoer - Damhertlaan'!$E65,Uitgangspunten!$B63*'Invoer - Damhertlaan'!$B48,"")</f>
        <v>213</v>
      </c>
      <c r="F18" s="52">
        <f>IF('Invoer - Damhertlaan'!$B65&lt;&gt;'Invoer - Damhertlaan'!$E65,Uitgangspunten!$C63*'Invoer - Damhertlaan'!$B48,"")</f>
        <v>426</v>
      </c>
      <c r="G18" s="54"/>
      <c r="H18" s="55">
        <f>IF('Invoer - Damhertlaan'!$B65&lt;&gt;'Invoer - Damhertlaan'!$E65,(1/'Invoer - Damhertlaan'!$B65)*'Invoer - Damhertlaan'!$B48*(Uitgangspunten!$B$8/Uitgangspunten!$B$9)*24*365.25/1000/'Invoer - Damhertlaan'!$B$12-(1/'Invoer - Damhertlaan'!$E65)*'Invoer - Damhertlaan'!$B48*(Uitgangspunten!$B$8/Uitgangspunten!$B$9)*24*365.25/1000/'Invoer - Damhertlaan'!$B$12,"")</f>
        <v>1.6963319999999997</v>
      </c>
      <c r="I18" s="56">
        <f>IF(H18&lt;&gt;"",H18*'Invoer - Damhertlaan'!$B$12/9.8,"")</f>
        <v>22.848553469387749</v>
      </c>
    </row>
    <row r="19" spans="1:11" x14ac:dyDescent="0.25">
      <c r="A19" s="50" t="s">
        <v>29</v>
      </c>
      <c r="B19" s="51" t="str">
        <f>IF('Invoer - Damhertlaan'!$B66&lt;&gt;'Invoer - Damhertlaan'!$E66,Uitgangspunten!$B40*'Invoer - Damhertlaan'!$B49,"")</f>
        <v/>
      </c>
      <c r="C19" s="52" t="str">
        <f>IF('Invoer - Damhertlaan'!$B66&lt;&gt;'Invoer - Damhertlaan'!$E66,Uitgangspunten!$C40*'Invoer - Damhertlaan'!$B49,"")</f>
        <v/>
      </c>
      <c r="D19" s="53"/>
      <c r="E19" s="51" t="str">
        <f>IF('Invoer - Damhertlaan'!$B66&lt;&gt;'Invoer - Damhertlaan'!$E66,Uitgangspunten!$B64*'Invoer - Damhertlaan'!$B49,"")</f>
        <v/>
      </c>
      <c r="F19" s="52" t="str">
        <f>IF('Invoer - Damhertlaan'!$B66&lt;&gt;'Invoer - Damhertlaan'!$E66,Uitgangspunten!$C64*'Invoer - Damhertlaan'!$B49,"")</f>
        <v/>
      </c>
      <c r="G19" s="54"/>
      <c r="H19" s="55" t="str">
        <f>IF('Invoer - Damhertlaan'!$B66&lt;&gt;'Invoer - Damhertlaan'!$E66,(1/'Invoer - Damhertlaan'!$B66)*'Invoer - Damhertlaan'!$B49*(Uitgangspunten!$B$8/Uitgangspunten!$B$9)*24*365.25/1000/'Invoer - Damhertlaan'!$B$12-(1/'Invoer - Damhertlaan'!$E66)*'Invoer - Damhertlaan'!$B49*(Uitgangspunten!$B$8/Uitgangspunten!$B$9)*24*365.25/1000/'Invoer - Damhertlaan'!$B$12,"")</f>
        <v/>
      </c>
      <c r="I19" s="56" t="str">
        <f>IF(H19&lt;&gt;"",H19*'Invoer - Damhertlaan'!$B$12/9.8,"")</f>
        <v/>
      </c>
      <c r="J19" s="57"/>
      <c r="K19" s="57"/>
    </row>
    <row r="20" spans="1:11" x14ac:dyDescent="0.25">
      <c r="A20" s="50" t="s">
        <v>32</v>
      </c>
      <c r="B20" s="51">
        <f>IF('Invoer - Damhertlaan'!$B67&lt;&gt;'Invoer - Damhertlaan'!$E67,IF('Invoer - Damhertlaan'!$B$92="Ja",Uitgangspunten!B41*'Invoer - Damhertlaan'!$B50+Uitgangspunten!B$44*'Invoer - Damhertlaan'!$B50,Uitgangspunten!B41*'Invoer - Damhertlaan'!$B50),"")</f>
        <v>2265</v>
      </c>
      <c r="C20" s="52">
        <f>IF('Invoer - Damhertlaan'!$B67&lt;&gt;'Invoer - Damhertlaan'!$E67,IF('Invoer - Damhertlaan'!$B$92="Ja",Uitgangspunten!C41*'Invoer - Damhertlaan'!$B50+Uitgangspunten!C$44*'Invoer - Damhertlaan'!$B50,Uitgangspunten!C41*'Invoer - Damhertlaan'!$B50),"")</f>
        <v>2869</v>
      </c>
      <c r="D20" s="53"/>
      <c r="E20" s="51">
        <f>IF('Invoer - Damhertlaan'!$B67&lt;&gt;'Invoer - Damhertlaan'!$E67,Uitgangspunten!$B65*'Invoer - Damhertlaan'!$B50,"")</f>
        <v>347.3</v>
      </c>
      <c r="F20" s="52">
        <f>IF('Invoer - Damhertlaan'!$B67&lt;&gt;'Invoer - Damhertlaan'!$E67,Uitgangspunten!$C65*'Invoer - Damhertlaan'!$B50,"")</f>
        <v>694.6</v>
      </c>
      <c r="G20" s="54"/>
      <c r="H20" s="55">
        <f>IF('Invoer - Damhertlaan'!$B67&lt;&gt;'Invoer - Damhertlaan'!$E67,('Invoer - Damhertlaan'!$B67)*'Invoer - Damhertlaan'!$B50*(Uitgangspunten!$B$8/Uitgangspunten!$B$9)*24*365.25/1000/'Invoer - Damhertlaan'!$B$12-('Invoer - Damhertlaan'!$E67)*'Invoer - Damhertlaan'!$B50*(Uitgangspunten!$B$8/Uitgangspunten!$B$9)*24*365.25/1000/'Invoer - Damhertlaan'!$B$12,"")</f>
        <v>10.245845279999994</v>
      </c>
      <c r="I20" s="56">
        <f>IF(H20&lt;&gt;"",H20*'Invoer - Damhertlaan'!$B$12/9.8,"")</f>
        <v>138.00526295510193</v>
      </c>
    </row>
    <row r="21" spans="1:11" x14ac:dyDescent="0.25">
      <c r="A21" s="50" t="s">
        <v>31</v>
      </c>
      <c r="B21" s="51">
        <f>IF('Invoer - Damhertlaan'!$B68&lt;&gt;'Invoer - Damhertlaan'!$E68,IF('Invoer - Damhertlaan'!$B$92="Ja",Uitgangspunten!B42*'Invoer - Damhertlaan'!$B51+Uitgangspunten!B$44*'Invoer - Damhertlaan'!$B51,Uitgangspunten!B42*'Invoer - Damhertlaan'!$B51),"")</f>
        <v>2339.9999999999995</v>
      </c>
      <c r="C21" s="52">
        <f>IF('Invoer - Damhertlaan'!$B68&lt;&gt;'Invoer - Damhertlaan'!$E68,IF('Invoer - Damhertlaan'!$B$92="Ja",Uitgangspunten!C42*'Invoer - Damhertlaan'!$B51+Uitgangspunten!C$44*'Invoer - Damhertlaan'!$B51,Uitgangspunten!C42*'Invoer - Damhertlaan'!$B51),"")</f>
        <v>2963.9999999999995</v>
      </c>
      <c r="D21" s="53"/>
      <c r="E21" s="51">
        <f>IF('Invoer - Damhertlaan'!$B68&lt;&gt;'Invoer - Damhertlaan'!$E68,Uitgangspunten!$B66*'Invoer - Damhertlaan'!$B51,"")</f>
        <v>358.79999999999995</v>
      </c>
      <c r="F21" s="52">
        <f>IF('Invoer - Damhertlaan'!$B68&lt;&gt;'Invoer - Damhertlaan'!$E68,Uitgangspunten!$C66*'Invoer - Damhertlaan'!$B51,"")</f>
        <v>717.59999999999991</v>
      </c>
      <c r="G21" s="54"/>
      <c r="H21" s="55">
        <f>IF('Invoer - Damhertlaan'!$B68&lt;&gt;'Invoer - Damhertlaan'!$E68,('Invoer - Damhertlaan'!$B68)*'Invoer - Damhertlaan'!$B51*(Uitgangspunten!$B$8/Uitgangspunten!$B$9)*24*365.25/1000/'Invoer - Damhertlaan'!$B$12-('Invoer - Damhertlaan'!$E68)*'Invoer - Damhertlaan'!$B51*(Uitgangspunten!$B$8/Uitgangspunten!$B$9)*24*365.25/1000/'Invoer - Damhertlaan'!$B$12,"")</f>
        <v>13.417747199999996</v>
      </c>
      <c r="I21" s="56">
        <f>IF(H21&lt;&gt;"",H21*'Invoer - Damhertlaan'!$B$12/9.8,"")</f>
        <v>180.72883983673464</v>
      </c>
    </row>
    <row r="22" spans="1:11" x14ac:dyDescent="0.25">
      <c r="A22" s="50" t="s">
        <v>60</v>
      </c>
      <c r="B22" s="51" t="str">
        <f>IF('Invoer - Damhertlaan'!$B69&lt;&gt;'Invoer - Damhertlaan'!$E69,IF('Invoer - Damhertlaan'!$B$92="Ja",Uitgangspunten!B43+Uitgangspunten!B$44,Uitgangspunten!B43),"")</f>
        <v/>
      </c>
      <c r="C22" s="52" t="str">
        <f>IF('Invoer - Damhertlaan'!$B69&lt;&gt;'Invoer - Damhertlaan'!$E69,IF('Invoer - Damhertlaan'!$B$92="Ja",Uitgangspunten!C43+Uitgangspunten!C$44,Uitgangspunten!C43),"")</f>
        <v/>
      </c>
      <c r="D22" s="53"/>
      <c r="E22" s="51" t="str">
        <f>IF('Invoer - Damhertlaan'!$B69&lt;&gt;'Invoer - Damhertlaan'!$E69,Uitgangspunten!$B67*'Invoer - Damhertlaan'!$B52,"")</f>
        <v/>
      </c>
      <c r="F22" s="52" t="str">
        <f>IF('Invoer - Damhertlaan'!$B69&lt;&gt;'Invoer - Damhertlaan'!$E69,Uitgangspunten!$C67*'Invoer - Damhertlaan'!$B52,"")</f>
        <v/>
      </c>
      <c r="G22" s="54"/>
      <c r="H22" s="55" t="str">
        <f>IF('Invoer - Damhertlaan'!$B69&lt;&gt;'Invoer - Damhertlaan'!$E69,('Invoer - Damhertlaan'!$B69)*'Invoer - Damhertlaan'!$B52*(Uitgangspunten!$B$8/Uitgangspunten!$B$9)*24*365.25/1000/'Invoer - Damhertlaan'!$B$12-('Invoer - Damhertlaan'!$E69)*'Invoer - Damhertlaan'!$B52*(Uitgangspunten!$B$8/Uitgangspunten!$B$9)*24*365.25/1000/'Invoer - Damhertlaan'!$B$12,"")</f>
        <v/>
      </c>
      <c r="I22" s="56" t="str">
        <f>IF(H22&lt;&gt;"",H22*'Invoer - Damhertlaan'!$B$12/9.8,"")</f>
        <v/>
      </c>
    </row>
    <row r="23" spans="1:11" x14ac:dyDescent="0.25">
      <c r="A23" s="50" t="s">
        <v>61</v>
      </c>
      <c r="B23" s="51" t="str">
        <f>IF('Invoer - Damhertlaan'!$B70&lt;&gt;'Invoer - Damhertlaan'!$E70,IF('Invoer - Damhertlaan'!$B$92="Ja",Uitgangspunten!B44+Uitgangspunten!B$44,Uitgangspunten!B44),"")</f>
        <v/>
      </c>
      <c r="C23" s="52" t="str">
        <f>IF('Invoer - Damhertlaan'!$B70&lt;&gt;'Invoer - Damhertlaan'!$E70,IF('Invoer - Damhertlaan'!$B$92="Ja",Uitgangspunten!C44+Uitgangspunten!C$44,Uitgangspunten!C44),"")</f>
        <v/>
      </c>
      <c r="D23" s="53"/>
      <c r="E23" s="51" t="str">
        <f>IF('Invoer - Damhertlaan'!$B70&lt;&gt;'Invoer - Damhertlaan'!$E70,Uitgangspunten!$B68*'Invoer - Damhertlaan'!$B53,"")</f>
        <v/>
      </c>
      <c r="F23" s="52" t="str">
        <f>IF('Invoer - Damhertlaan'!$B70&lt;&gt;'Invoer - Damhertlaan'!$E70,Uitgangspunten!$C68*'Invoer - Damhertlaan'!$B53,"")</f>
        <v/>
      </c>
      <c r="G23" s="54"/>
      <c r="H23" s="55" t="str">
        <f>IF('Invoer - Damhertlaan'!$B70&lt;&gt;'Invoer - Damhertlaan'!$E70,('Invoer - Damhertlaan'!$B70)*'Invoer - Damhertlaan'!$B53*(Uitgangspunten!$B$8/Uitgangspunten!$B$9)*24*365.25/1000/'Invoer - Damhertlaan'!$B$12-('Invoer - Damhertlaan'!$E70)*'Invoer - Damhertlaan'!$B53*(Uitgangspunten!$B$8/Uitgangspunten!$B$9)*24*365.25/1000/'Invoer - Damhertlaan'!$B$12,"")</f>
        <v/>
      </c>
      <c r="I23" s="56" t="str">
        <f>IF(H23&lt;&gt;"",H23*'Invoer - Damhertlaan'!$B$12/9.8,"")</f>
        <v/>
      </c>
    </row>
    <row r="24" spans="1:11" x14ac:dyDescent="0.25">
      <c r="A24" s="50" t="s">
        <v>62</v>
      </c>
      <c r="B24" s="51" t="str">
        <f>IF('Invoer - Damhertlaan'!$B71&lt;&gt;'Invoer - Damhertlaan'!$E71,IF('Invoer - Damhertlaan'!$B$92="Ja",Uitgangspunten!B45+Uitgangspunten!B$44,Uitgangspunten!B45),"")</f>
        <v/>
      </c>
      <c r="C24" s="52" t="str">
        <f>IF('Invoer - Damhertlaan'!$B71&lt;&gt;'Invoer - Damhertlaan'!$E71,IF('Invoer - Damhertlaan'!$B$92="Ja",Uitgangspunten!C45+Uitgangspunten!C$44,Uitgangspunten!C45),"")</f>
        <v/>
      </c>
      <c r="D24" s="53"/>
      <c r="E24" s="51" t="str">
        <f>IF('Invoer - Damhertlaan'!$B71&lt;&gt;'Invoer - Damhertlaan'!$E71,Uitgangspunten!$B69*'Invoer - Damhertlaan'!$B54,"")</f>
        <v/>
      </c>
      <c r="F24" s="52" t="str">
        <f>IF('Invoer - Damhertlaan'!$B71&lt;&gt;'Invoer - Damhertlaan'!$E71,Uitgangspunten!$C69*'Invoer - Damhertlaan'!$B54,"")</f>
        <v/>
      </c>
      <c r="G24" s="54"/>
      <c r="H24" s="55" t="str">
        <f>IF('Invoer - Damhertlaan'!$B71&lt;&gt;'Invoer - Damhertlaan'!$E71,('Invoer - Damhertlaan'!$B71)*'Invoer - Damhertlaan'!$B54*(Uitgangspunten!$B$8/Uitgangspunten!$B$9)*24*365.25/1000/'Invoer - Damhertlaan'!$B$12-('Invoer - Damhertlaan'!$E71)*'Invoer - Damhertlaan'!$B54*(Uitgangspunten!$B$8/Uitgangspunten!$B$9)*24*365.25/1000/'Invoer - Damhertlaan'!$B$12,"")</f>
        <v/>
      </c>
      <c r="I24" s="56" t="str">
        <f>IF(H24&lt;&gt;"",H24*'Invoer - Damhertlaan'!$B$12/9.8,"")</f>
        <v/>
      </c>
    </row>
    <row r="25" spans="1:11" ht="15.75" thickBot="1" x14ac:dyDescent="0.3">
      <c r="A25" s="58" t="s">
        <v>70</v>
      </c>
      <c r="B25" s="59">
        <f>Uitgangspunten!B45</f>
        <v>2000</v>
      </c>
      <c r="C25" s="60">
        <f>Uitgangspunten!C45</f>
        <v>4000</v>
      </c>
      <c r="D25" s="61"/>
      <c r="E25" s="59">
        <v>0</v>
      </c>
      <c r="F25" s="60">
        <v>0</v>
      </c>
      <c r="G25" s="62"/>
      <c r="H25" s="63">
        <f>Uitgangspunten!B21*'Invoer - Damhertlaan'!B23*'Invoer - Damhertlaan'!B93*Uitgangspunten!B22</f>
        <v>6.2551098484848477</v>
      </c>
      <c r="I25" s="64">
        <f>IF(H25&lt;&gt;"",H25*'Invoer - Damhertlaan'!$B$12/9.8,"")</f>
        <v>84.252499999999984</v>
      </c>
    </row>
    <row r="26" spans="1:11" s="42" customFormat="1" ht="16.5" thickTop="1" thickBot="1" x14ac:dyDescent="0.3">
      <c r="A26" s="65" t="s">
        <v>6</v>
      </c>
      <c r="B26" s="66">
        <f t="shared" ref="B26:F26" si="0">SUM(B14:B25)</f>
        <v>8061.43</v>
      </c>
      <c r="C26" s="67">
        <f t="shared" si="0"/>
        <v>15157.369999999999</v>
      </c>
      <c r="D26" s="68"/>
      <c r="E26" s="66">
        <f t="shared" si="0"/>
        <v>1126.2</v>
      </c>
      <c r="F26" s="67">
        <f t="shared" si="0"/>
        <v>2252.4</v>
      </c>
      <c r="G26" s="69"/>
      <c r="H26" s="70">
        <f>SUM(H14:H25)</f>
        <v>73.287892271503054</v>
      </c>
      <c r="I26" s="71">
        <f>SUM(I14:I25)</f>
        <v>987.14303875902067</v>
      </c>
    </row>
    <row r="27" spans="1:11" ht="15.75" thickTop="1" x14ac:dyDescent="0.25"/>
    <row r="28" spans="1:11" x14ac:dyDescent="0.25">
      <c r="A28" s="32" t="s">
        <v>66</v>
      </c>
      <c r="B28" s="32">
        <f>'Invoer - Damhertlaan'!B23</f>
        <v>125.75</v>
      </c>
    </row>
    <row r="29" spans="1:11" x14ac:dyDescent="0.25">
      <c r="A29" s="32" t="s">
        <v>68</v>
      </c>
      <c r="B29" s="32">
        <f>'Invoer - Damhertlaan'!B24</f>
        <v>97.800000000000011</v>
      </c>
    </row>
    <row r="30" spans="1:11" x14ac:dyDescent="0.25">
      <c r="A30" s="32" t="s">
        <v>69</v>
      </c>
      <c r="B30" s="32">
        <f>'Invoer - Damhertlaan'!B25</f>
        <v>57.400000000000006</v>
      </c>
    </row>
    <row r="31" spans="1:11" x14ac:dyDescent="0.25">
      <c r="A31" s="42" t="s">
        <v>67</v>
      </c>
      <c r="B31" s="72">
        <f>B28-H26</f>
        <v>52.462107728496946</v>
      </c>
    </row>
    <row r="35" spans="5:6" x14ac:dyDescent="0.25">
      <c r="E35" s="73"/>
      <c r="F35" s="73"/>
    </row>
    <row r="36" spans="5:6" x14ac:dyDescent="0.25">
      <c r="E36" s="73"/>
      <c r="F36" s="73"/>
    </row>
  </sheetData>
  <sheetProtection algorithmName="SHA-512" hashValue="2PldijHnIyrg4oS2K1Qp9IoCnm0tknKLpC6LH3JrKFvSz5PcQiWulLiRtcYPxtMt/1E0vR2L8vIhdGJ7Kx33yw==" saltValue="TfJiaiM2PGHK8u5AS9fE8w==" spinCount="100000" sheet="1" objects="1" scenarios="1"/>
  <mergeCells count="3">
    <mergeCell ref="B12:C12"/>
    <mergeCell ref="E12:F12"/>
    <mergeCell ref="H12:I12"/>
  </mergeCells>
  <phoneticPr fontId="2" type="noConversion"/>
  <conditionalFormatting sqref="B29">
    <cfRule type="expression" dxfId="17" priority="9" stopIfTrue="1">
      <formula>AND($B$29&gt;=$B$31)</formula>
    </cfRule>
    <cfRule type="expression" dxfId="16" priority="10" stopIfTrue="1">
      <formula>AND(($B$29+$B$29*0.1)&gt;=$B$31)</formula>
    </cfRule>
    <cfRule type="expression" dxfId="15" priority="11" stopIfTrue="1">
      <formula>AND(($B$29+$B$29*0.1)&lt;$B$31)</formula>
    </cfRule>
  </conditionalFormatting>
  <conditionalFormatting sqref="B30">
    <cfRule type="expression" dxfId="14" priority="12" stopIfTrue="1">
      <formula>AND($B$30&gt;=$B$31)</formula>
    </cfRule>
    <cfRule type="expression" dxfId="13" priority="13" stopIfTrue="1">
      <formula>AND(($B$30+$B$30*0.1)&gt;=$B$31)</formula>
    </cfRule>
    <cfRule type="expression" dxfId="12" priority="14" stopIfTrue="1">
      <formula>AND(($B$30+$B$30*0.1)&lt;$B$31)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7EAA-1AD7-4AA9-913C-DC8A6470A4D7}">
  <sheetPr codeName="Blad6"/>
  <dimension ref="A8:K93"/>
  <sheetViews>
    <sheetView workbookViewId="0">
      <selection activeCell="K66" sqref="K66"/>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17</v>
      </c>
    </row>
    <row r="9" spans="1:3" x14ac:dyDescent="0.25">
      <c r="A9" s="4" t="s">
        <v>7</v>
      </c>
      <c r="B9" s="74" t="s">
        <v>91</v>
      </c>
    </row>
    <row r="10" spans="1:3" x14ac:dyDescent="0.25">
      <c r="A10" s="4" t="s">
        <v>9</v>
      </c>
      <c r="B10" s="74">
        <v>1972</v>
      </c>
    </row>
    <row r="11" spans="1:3" x14ac:dyDescent="0.25">
      <c r="A11" s="4" t="s">
        <v>10</v>
      </c>
      <c r="B11" s="74">
        <v>1.41</v>
      </c>
    </row>
    <row r="12" spans="1:3" x14ac:dyDescent="0.25">
      <c r="A12" s="4" t="s">
        <v>11</v>
      </c>
      <c r="B12" s="74">
        <v>132</v>
      </c>
      <c r="C12" s="3" t="s">
        <v>3</v>
      </c>
    </row>
    <row r="13" spans="1:3" x14ac:dyDescent="0.25">
      <c r="A13" s="4" t="s">
        <v>12</v>
      </c>
      <c r="B13" s="74" t="s">
        <v>5</v>
      </c>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18</v>
      </c>
    </row>
    <row r="22" spans="1:3" x14ac:dyDescent="0.25">
      <c r="A22" s="4" t="s">
        <v>13</v>
      </c>
      <c r="B22" s="74">
        <v>153.12</v>
      </c>
      <c r="C22" s="3" t="s">
        <v>14</v>
      </c>
    </row>
    <row r="23" spans="1:3" x14ac:dyDescent="0.25">
      <c r="A23" s="4" t="s">
        <v>15</v>
      </c>
      <c r="B23" s="74">
        <v>127.92</v>
      </c>
      <c r="C23" s="3" t="s">
        <v>14</v>
      </c>
    </row>
    <row r="24" spans="1:3" x14ac:dyDescent="0.25">
      <c r="A24" s="4" t="s">
        <v>44</v>
      </c>
      <c r="B24" s="2">
        <f>60+105*(B11-1)</f>
        <v>103.04999999999998</v>
      </c>
      <c r="C24" s="3" t="s">
        <v>14</v>
      </c>
    </row>
    <row r="25" spans="1:3" x14ac:dyDescent="0.25">
      <c r="A25" s="4" t="s">
        <v>45</v>
      </c>
      <c r="B25" s="2">
        <f>43+40*(B11-1)</f>
        <v>59.4</v>
      </c>
      <c r="C25" s="3" t="s">
        <v>14</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19</v>
      </c>
    </row>
    <row r="45" spans="1:3" x14ac:dyDescent="0.25">
      <c r="A45" s="4" t="s">
        <v>16</v>
      </c>
      <c r="B45" s="74">
        <f>19+1.3+0.3+28</f>
        <v>48.6</v>
      </c>
      <c r="C45" s="3" t="s">
        <v>3</v>
      </c>
    </row>
    <row r="46" spans="1:3" x14ac:dyDescent="0.25">
      <c r="A46" s="4" t="s">
        <v>24</v>
      </c>
      <c r="B46" s="74">
        <v>0.5</v>
      </c>
      <c r="C46" s="3" t="s">
        <v>3</v>
      </c>
    </row>
    <row r="47" spans="1:3" x14ac:dyDescent="0.25">
      <c r="A47" s="4" t="s">
        <v>25</v>
      </c>
      <c r="B47" s="74">
        <f>32+16</f>
        <v>48</v>
      </c>
      <c r="C47" s="3" t="s">
        <v>3</v>
      </c>
    </row>
    <row r="48" spans="1:3" x14ac:dyDescent="0.25">
      <c r="A48" s="4" t="s">
        <v>26</v>
      </c>
      <c r="B48" s="74">
        <v>16.600000000000001</v>
      </c>
      <c r="C48" s="3" t="s">
        <v>3</v>
      </c>
    </row>
    <row r="49" spans="1:11" x14ac:dyDescent="0.25">
      <c r="A49" s="4" t="s">
        <v>29</v>
      </c>
      <c r="B49" s="74">
        <v>53</v>
      </c>
      <c r="C49" s="3" t="s">
        <v>3</v>
      </c>
    </row>
    <row r="50" spans="1:11" x14ac:dyDescent="0.25">
      <c r="A50" s="4" t="s">
        <v>32</v>
      </c>
      <c r="B50" s="74">
        <f>6.3+0.6+0.7+0.7+6.8</f>
        <v>15.099999999999998</v>
      </c>
      <c r="C50" s="3" t="s">
        <v>3</v>
      </c>
    </row>
    <row r="51" spans="1:11" x14ac:dyDescent="0.25">
      <c r="A51" s="4" t="s">
        <v>31</v>
      </c>
      <c r="B51" s="74">
        <f>5.3+4.5+6.3</f>
        <v>16.100000000000001</v>
      </c>
      <c r="C51" s="3" t="s">
        <v>3</v>
      </c>
    </row>
    <row r="52" spans="1:11" x14ac:dyDescent="0.25">
      <c r="A52" s="4" t="s">
        <v>60</v>
      </c>
      <c r="B52" s="74">
        <v>1.9</v>
      </c>
      <c r="C52" s="3" t="s">
        <v>3</v>
      </c>
    </row>
    <row r="53" spans="1:11" x14ac:dyDescent="0.25">
      <c r="A53" s="4" t="s">
        <v>61</v>
      </c>
      <c r="B53" s="74">
        <v>1.8</v>
      </c>
      <c r="C53" s="3" t="s">
        <v>3</v>
      </c>
    </row>
    <row r="54" spans="1:11" x14ac:dyDescent="0.25">
      <c r="A54" s="4" t="s">
        <v>62</v>
      </c>
      <c r="B54" s="74">
        <v>0</v>
      </c>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20</v>
      </c>
      <c r="B61" s="5" t="s">
        <v>36</v>
      </c>
      <c r="E61" s="5" t="s">
        <v>76</v>
      </c>
      <c r="H61" s="1" t="s">
        <v>41</v>
      </c>
    </row>
    <row r="62" spans="1:11" x14ac:dyDescent="0.25">
      <c r="A62" s="4" t="s">
        <v>21</v>
      </c>
      <c r="B62" s="74">
        <v>0.43</v>
      </c>
      <c r="C62" s="3" t="s">
        <v>22</v>
      </c>
      <c r="E62" s="74">
        <v>1.4</v>
      </c>
      <c r="F62" s="3" t="s">
        <v>22</v>
      </c>
      <c r="H62" s="2">
        <v>6</v>
      </c>
      <c r="I62" s="3" t="s">
        <v>22</v>
      </c>
      <c r="K62" s="87">
        <f>(1/$B62)*$B45*(Uitgangspunten!$B$8/Uitgangspunten!$B$9)*24*365.25/1000/$B$12</f>
        <v>54.007032558139528</v>
      </c>
    </row>
    <row r="63" spans="1:11" x14ac:dyDescent="0.25">
      <c r="A63" s="4" t="s">
        <v>23</v>
      </c>
      <c r="B63" s="74">
        <v>2.5</v>
      </c>
      <c r="C63" s="3" t="s">
        <v>4</v>
      </c>
      <c r="E63" s="74">
        <v>2.5</v>
      </c>
      <c r="F63" s="3" t="s">
        <v>4</v>
      </c>
      <c r="H63" s="2">
        <v>1.4</v>
      </c>
      <c r="I63" s="3" t="s">
        <v>4</v>
      </c>
      <c r="K63" s="87">
        <f>($B63)*$B46*(Uitgangspunten!$B$8/Uitgangspunten!$B$9)*24*365.25/1000/$B$12</f>
        <v>0.59730000000000005</v>
      </c>
    </row>
    <row r="64" spans="1:11" x14ac:dyDescent="0.25">
      <c r="A64" s="4" t="s">
        <v>27</v>
      </c>
      <c r="B64" s="74">
        <v>2.2200000000000002</v>
      </c>
      <c r="C64" s="3" t="s">
        <v>22</v>
      </c>
      <c r="E64" s="74">
        <v>2.2200000000000002</v>
      </c>
      <c r="F64" s="3" t="s">
        <v>22</v>
      </c>
      <c r="H64" s="2">
        <v>8</v>
      </c>
      <c r="I64" s="3" t="s">
        <v>22</v>
      </c>
      <c r="K64" s="87">
        <f>(1/$B64)*$B47*(Uitgangspunten!$B$8/Uitgangspunten!$B$9)*24*365.25/1000/$B$12</f>
        <v>10.331675675675672</v>
      </c>
    </row>
    <row r="65" spans="1:11" x14ac:dyDescent="0.25">
      <c r="A65" s="4" t="s">
        <v>28</v>
      </c>
      <c r="B65" s="75">
        <v>0.86</v>
      </c>
      <c r="C65" s="3" t="s">
        <v>22</v>
      </c>
      <c r="E65" s="74">
        <v>4</v>
      </c>
      <c r="F65" s="3" t="s">
        <v>22</v>
      </c>
      <c r="H65" s="2">
        <v>8</v>
      </c>
      <c r="I65" s="3" t="s">
        <v>22</v>
      </c>
      <c r="K65" s="87">
        <f>(1/$B65)*$B48*(Uitgangspunten!$B$8/Uitgangspunten!$B$9)*24*365.25/1000/$B$12</f>
        <v>9.2234232558139535</v>
      </c>
    </row>
    <row r="66" spans="1:11" x14ac:dyDescent="0.25">
      <c r="A66" s="4" t="s">
        <v>30</v>
      </c>
      <c r="B66" s="75">
        <v>3.18</v>
      </c>
      <c r="C66" s="3" t="s">
        <v>22</v>
      </c>
      <c r="E66" s="74">
        <v>3.18</v>
      </c>
      <c r="F66" s="3" t="s">
        <v>22</v>
      </c>
      <c r="H66" s="2">
        <v>3.5</v>
      </c>
      <c r="I66" s="3" t="s">
        <v>22</v>
      </c>
      <c r="K66" s="87">
        <f>(1/$B66)*$B49*(Uitgangspunten!$B$8/Uitgangspunten!$B$9)*24*365.25/1000/$B$12</f>
        <v>7.9639999999999986</v>
      </c>
    </row>
    <row r="67" spans="1:11" x14ac:dyDescent="0.25">
      <c r="A67" s="4" t="s">
        <v>33</v>
      </c>
      <c r="B67" s="75">
        <v>1.99</v>
      </c>
      <c r="C67" s="3" t="s">
        <v>4</v>
      </c>
      <c r="E67" s="74">
        <v>1.1000000000000001</v>
      </c>
      <c r="F67" s="3" t="s">
        <v>4</v>
      </c>
      <c r="H67" s="2">
        <v>1</v>
      </c>
      <c r="I67" s="3" t="s">
        <v>4</v>
      </c>
      <c r="K67" s="87">
        <f>($B67)*$B50*(Uitgangspunten!$B$8/Uitgangspunten!$B$9)*24*365.25/1000/$B$12</f>
        <v>14.358614159999998</v>
      </c>
    </row>
    <row r="68" spans="1:11" x14ac:dyDescent="0.25">
      <c r="A68" s="4" t="s">
        <v>34</v>
      </c>
      <c r="B68" s="74">
        <v>2.16</v>
      </c>
      <c r="C68" s="3" t="s">
        <v>4</v>
      </c>
      <c r="E68" s="74">
        <v>1.1000000000000001</v>
      </c>
      <c r="F68" s="3" t="s">
        <v>4</v>
      </c>
      <c r="H68" s="2">
        <v>1</v>
      </c>
      <c r="I68" s="3" t="s">
        <v>4</v>
      </c>
      <c r="K68" s="87">
        <f>($B68)*$B51*(Uitgangspunten!$B$8/Uitgangspunten!$B$9)*24*365.25/1000/$B$12</f>
        <v>16.617363839999996</v>
      </c>
    </row>
    <row r="69" spans="1:11" x14ac:dyDescent="0.25">
      <c r="A69" s="4" t="s">
        <v>63</v>
      </c>
      <c r="B69" s="74">
        <v>3.4</v>
      </c>
      <c r="C69" s="3" t="s">
        <v>4</v>
      </c>
      <c r="E69" s="74">
        <v>3.4</v>
      </c>
      <c r="F69" s="3" t="s">
        <v>4</v>
      </c>
      <c r="H69" s="2">
        <v>1.4</v>
      </c>
      <c r="I69" s="3" t="s">
        <v>4</v>
      </c>
      <c r="K69" s="87">
        <f>($B69)*$B52*(Uitgangspunten!$B$8/Uitgangspunten!$B$9)*24*365.25/1000/$B$12</f>
        <v>3.0868463999999998</v>
      </c>
    </row>
    <row r="70" spans="1:11" x14ac:dyDescent="0.25">
      <c r="A70" s="4" t="s">
        <v>64</v>
      </c>
      <c r="B70" s="74">
        <v>3.4</v>
      </c>
      <c r="C70" s="3" t="s">
        <v>4</v>
      </c>
      <c r="E70" s="74">
        <v>3.4</v>
      </c>
      <c r="F70" s="3" t="s">
        <v>4</v>
      </c>
      <c r="H70" s="2">
        <v>1.4</v>
      </c>
      <c r="I70" s="3" t="s">
        <v>4</v>
      </c>
      <c r="K70" s="87">
        <f>($B70)*$B53*(Uitgangspunten!$B$8/Uitgangspunten!$B$9)*24*365.25/1000/$B$12</f>
        <v>2.9243808000000002</v>
      </c>
    </row>
    <row r="71" spans="1:11" x14ac:dyDescent="0.25">
      <c r="A71" s="4" t="s">
        <v>65</v>
      </c>
      <c r="B71" s="74"/>
      <c r="C71" s="3" t="s">
        <v>4</v>
      </c>
      <c r="E71" s="74"/>
      <c r="F71" s="3" t="s">
        <v>4</v>
      </c>
      <c r="H71" s="2">
        <v>1.4</v>
      </c>
      <c r="I71" s="3" t="s">
        <v>4</v>
      </c>
      <c r="K71" s="87">
        <f>($B71)*$B54*(Uitgangspunten!$B$8/Uitgangspunten!$B$9)*24*365.25/1000/$B$12</f>
        <v>0</v>
      </c>
    </row>
    <row r="72" spans="1:11" x14ac:dyDescent="0.25">
      <c r="A72" s="4"/>
      <c r="H72" s="2"/>
      <c r="K72" s="87">
        <f>SUM(K62:K71)</f>
        <v>119.11063668962915</v>
      </c>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56</v>
      </c>
    </row>
    <row r="91" spans="1:2" x14ac:dyDescent="0.25">
      <c r="A91" s="4" t="s">
        <v>43</v>
      </c>
      <c r="B91" s="74" t="s">
        <v>47</v>
      </c>
    </row>
    <row r="92" spans="1:2" x14ac:dyDescent="0.25">
      <c r="A92" s="4" t="s">
        <v>57</v>
      </c>
      <c r="B92" s="74" t="s">
        <v>46</v>
      </c>
    </row>
    <row r="93" spans="1:2" x14ac:dyDescent="0.25">
      <c r="A93" s="4" t="s">
        <v>75</v>
      </c>
      <c r="B93" s="76">
        <f>'Invoer - Vossenkamp'!B49/'Invoer - Vossenkamp'!B12</f>
        <v>0.40151515151515149</v>
      </c>
    </row>
  </sheetData>
  <sheetProtection algorithmName="SHA-512" hashValue="yB6cd2bQHdookoPr68ppp8O636VPU6nGjxJKCHt0QHmWZsTYljbXG7olXd5eGcE1KTFjSBZW0ZS3dEdrYF0SPg==" saltValue="SKDI5WSU8vgpVnPX8lXElg==" spinCount="100000" sheet="1" objects="1" scenarios="1"/>
  <pageMargins left="0.7" right="0.7" top="0.75" bottom="0.75" header="0.3" footer="0.3"/>
  <pageSetup paperSize="9" orientation="portrait" r:id="rId1"/>
  <ignoredErrors>
    <ignoredError sqref="K63"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D7FF52D-5ACE-4599-8A82-2ABF40E63F07}">
          <x14:formula1>
            <xm:f>Lijsten!$C$1:$C$2</xm:f>
          </x14:formula1>
          <xm:sqref>B92</xm:sqref>
        </x14:dataValidation>
        <x14:dataValidation type="list" allowBlank="1" showInputMessage="1" showErrorMessage="1" xr:uid="{7C59626B-4430-419E-A261-8BEDD34BD5E0}">
          <x14:formula1>
            <xm:f>Lijsten!$C$1:$C$3</xm:f>
          </x14:formula1>
          <xm:sqref>B91</xm:sqref>
        </x14:dataValidation>
        <x14:dataValidation type="list" allowBlank="1" showInputMessage="1" showErrorMessage="1" xr:uid="{943792E5-EC79-4D3F-BF90-124DF7487AC3}">
          <x14:formula1>
            <xm:f>Lijsten!$A$1:$A$5</xm:f>
          </x14:formula1>
          <xm:sqref>B13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6AAB-5FA3-4A57-8613-E9F1E08B05F9}">
  <sheetPr codeName="Blad7"/>
  <dimension ref="A1:K36"/>
  <sheetViews>
    <sheetView workbookViewId="0">
      <selection activeCell="F42" sqref="F42"/>
    </sheetView>
  </sheetViews>
  <sheetFormatPr defaultRowHeight="15" x14ac:dyDescent="0.25"/>
  <cols>
    <col min="1" max="1" width="36.140625" style="32" bestFit="1" customWidth="1"/>
    <col min="2" max="2" width="12.7109375" style="32" customWidth="1"/>
    <col min="3" max="3" width="13.28515625" style="32" customWidth="1"/>
    <col min="4" max="4" width="3" style="32" customWidth="1"/>
    <col min="5" max="6" width="16" style="32" customWidth="1"/>
    <col min="7" max="7" width="4.5703125" style="32" customWidth="1"/>
    <col min="8" max="8" width="19.28515625" style="32" customWidth="1"/>
    <col min="9" max="9" width="21" style="32" customWidth="1"/>
    <col min="10" max="16384" width="9.140625" style="32"/>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3"/>
    </row>
    <row r="9" spans="1:9" ht="15.75" customHeight="1" x14ac:dyDescent="0.35">
      <c r="A9" s="33"/>
    </row>
    <row r="10" spans="1:9" ht="15.75" customHeight="1" x14ac:dyDescent="0.35">
      <c r="A10" s="33"/>
    </row>
    <row r="11" spans="1:9" ht="15.75" customHeight="1" thickBot="1" x14ac:dyDescent="0.4">
      <c r="A11" s="33"/>
    </row>
    <row r="12" spans="1:9" ht="31.5" customHeight="1" thickTop="1" x14ac:dyDescent="0.25">
      <c r="A12" s="34"/>
      <c r="B12" s="83" t="s">
        <v>37</v>
      </c>
      <c r="C12" s="84"/>
      <c r="D12" s="35"/>
      <c r="E12" s="85" t="s">
        <v>73</v>
      </c>
      <c r="F12" s="86"/>
      <c r="G12" s="35"/>
      <c r="H12" s="83" t="s">
        <v>40</v>
      </c>
      <c r="I12" s="84"/>
    </row>
    <row r="13" spans="1:9" s="42" customFormat="1" ht="49.5" customHeight="1" thickBot="1" x14ac:dyDescent="0.3">
      <c r="A13" s="36" t="s">
        <v>82</v>
      </c>
      <c r="B13" s="37" t="s">
        <v>38</v>
      </c>
      <c r="C13" s="38" t="s">
        <v>39</v>
      </c>
      <c r="D13" s="39"/>
      <c r="E13" s="37" t="s">
        <v>38</v>
      </c>
      <c r="F13" s="38" t="s">
        <v>39</v>
      </c>
      <c r="G13" s="39"/>
      <c r="H13" s="40" t="s">
        <v>54</v>
      </c>
      <c r="I13" s="41" t="s">
        <v>90</v>
      </c>
    </row>
    <row r="14" spans="1:9" ht="15.75" thickTop="1" x14ac:dyDescent="0.25">
      <c r="A14" s="43" t="s">
        <v>42</v>
      </c>
      <c r="B14" s="44">
        <f>IF('Invoer - Vossenkamp'!$B$91="Nee",370,0)</f>
        <v>0</v>
      </c>
      <c r="C14" s="45">
        <f>IF('Invoer - Vossenkamp'!$B$91="Nee",2700,IF('Invoer - Vossenkamp'!$B$91="Onbekend",2700,0))</f>
        <v>2700</v>
      </c>
      <c r="D14" s="46"/>
      <c r="E14" s="44">
        <f>IF('Invoer - Vossenkamp'!$B61&lt;&gt;'Invoer - Vossenkamp'!$E61,Uitgangspunten!$B59*'Invoer - Vossenkamp'!$B44,"")</f>
        <v>0</v>
      </c>
      <c r="F14" s="45">
        <f>IF('Invoer - Vossenkamp'!$B61&lt;&gt;'Invoer - Vossenkamp'!$E61,Uitgangspunten!$C59*'Invoer - Vossenkamp'!$B44,"")</f>
        <v>0</v>
      </c>
      <c r="G14" s="47"/>
      <c r="H14" s="48">
        <f>IF(C14&lt;&gt;0,I14*9.8/'Invoer - Vossenkamp'!B12,"")</f>
        <v>3.7121212121212124</v>
      </c>
      <c r="I14" s="49">
        <f>IF(C14&lt;&gt;0,50,"")</f>
        <v>50</v>
      </c>
    </row>
    <row r="15" spans="1:9" x14ac:dyDescent="0.25">
      <c r="A15" s="50" t="s">
        <v>16</v>
      </c>
      <c r="B15" s="51">
        <f>IF('Invoer - Vossenkamp'!$B62&lt;&gt;'Invoer - Vossenkamp'!$E62,Uitgangspunten!$B36*'Invoer - Vossenkamp'!$B45,"")</f>
        <v>1006.02</v>
      </c>
      <c r="C15" s="52">
        <f>IF('Invoer - Vossenkamp'!$B62&lt;&gt;'Invoer - Vossenkamp'!$E62,Uitgangspunten!$C36*'Invoer - Vossenkamp'!$B45,"")</f>
        <v>1229.5800000000002</v>
      </c>
      <c r="D15" s="53"/>
      <c r="E15" s="51">
        <f>IF('Invoer - Vossenkamp'!$B62&lt;&gt;'Invoer - Vossenkamp'!$E62,Uitgangspunten!$B60*'Invoer - Vossenkamp'!$B45,"")</f>
        <v>194.4</v>
      </c>
      <c r="F15" s="52">
        <f>IF('Invoer - Vossenkamp'!$B62&lt;&gt;'Invoer - Vossenkamp'!$E62,Uitgangspunten!$C60*'Invoer - Vossenkamp'!$B45,"")</f>
        <v>388.8</v>
      </c>
      <c r="G15" s="54"/>
      <c r="H15" s="55">
        <f>IF('Invoer - Vossenkamp'!$B62&lt;&gt;'Invoer - Vossenkamp'!$E62,(1/'Invoer - Vossenkamp'!$B62)*'Invoer - Vossenkamp'!$B45*(Uitgangspunten!$B$8/Uitgangspunten!$B$9)*24*365.25/1000/'Invoer - Vossenkamp'!$B$12-(1/'Invoer - Vossenkamp'!$E62)*'Invoer - Vossenkamp'!$B45*(Uitgangspunten!$B$8/Uitgangspunten!$B$9)*24*365.25/1000/'Invoer - Vossenkamp'!$B$12,"")</f>
        <v>37.419158272425243</v>
      </c>
      <c r="I15" s="56">
        <f>IF(H15&lt;&gt;"",H15*'Invoer - Vossenkamp'!$B$12/9.8,"")</f>
        <v>504.01315224082975</v>
      </c>
    </row>
    <row r="16" spans="1:9" x14ac:dyDescent="0.25">
      <c r="A16" s="50" t="s">
        <v>24</v>
      </c>
      <c r="B16" s="51" t="str">
        <f>IF('Invoer - Vossenkamp'!$B63&lt;&gt;'Invoer - Vossenkamp'!$E63,Uitgangspunten!$B37*'Invoer - Vossenkamp'!$B46,"")</f>
        <v/>
      </c>
      <c r="C16" s="52" t="str">
        <f>IF('Invoer - Vossenkamp'!$B63&lt;&gt;'Invoer - Vossenkamp'!$E63,Uitgangspunten!$C37*'Invoer - Vossenkamp'!$B46,"")</f>
        <v/>
      </c>
      <c r="D16" s="53"/>
      <c r="E16" s="51" t="str">
        <f>IF('Invoer - Vossenkamp'!$B63&lt;&gt;'Invoer - Vossenkamp'!$E63,Uitgangspunten!$B61*'Invoer - Vossenkamp'!$B46,"")</f>
        <v/>
      </c>
      <c r="F16" s="52" t="str">
        <f>IF('Invoer - Vossenkamp'!$B63&lt;&gt;'Invoer - Vossenkamp'!$E63,Uitgangspunten!$C61*'Invoer - Vossenkamp'!$B46,"")</f>
        <v/>
      </c>
      <c r="G16" s="54"/>
      <c r="H16" s="55" t="str">
        <f>IF('Invoer - Vossenkamp'!$B63&lt;&gt;'Invoer - Vossenkamp'!$E63,('Invoer - Vossenkamp'!$B63)*'Invoer - Vossenkamp'!$B46*(Uitgangspunten!$B$8/Uitgangspunten!$B$9)*24*365.25/1000/'Invoer - Vossenkamp'!$B$12-('Invoer - Vossenkamp'!$E63)*'Invoer - Vossenkamp'!$B46*(Uitgangspunten!$B$8/Uitgangspunten!$B$9)*24*365.25/1000/'Invoer - Vossenkamp'!$B$12,"")</f>
        <v/>
      </c>
      <c r="I16" s="56" t="str">
        <f>IF(H16&lt;&gt;"",H16*'Invoer - Vossenkamp'!$B$12/9.8,"")</f>
        <v/>
      </c>
    </row>
    <row r="17" spans="1:11" x14ac:dyDescent="0.25">
      <c r="A17" s="50" t="s">
        <v>25</v>
      </c>
      <c r="B17" s="51" t="str">
        <f>IF('Invoer - Vossenkamp'!$B64&lt;&gt;'Invoer - Vossenkamp'!$E64,Uitgangspunten!$B38*'Invoer - Vossenkamp'!$B47,"")</f>
        <v/>
      </c>
      <c r="C17" s="52" t="str">
        <f>IF('Invoer - Vossenkamp'!$B64&lt;&gt;'Invoer - Vossenkamp'!$E64,Uitgangspunten!$C38*'Invoer - Vossenkamp'!$B47,"")</f>
        <v/>
      </c>
      <c r="D17" s="53"/>
      <c r="E17" s="51" t="str">
        <f>IF('Invoer - Vossenkamp'!$B64&lt;&gt;'Invoer - Vossenkamp'!$E64,Uitgangspunten!$B62*'Invoer - Vossenkamp'!$B47,"")</f>
        <v/>
      </c>
      <c r="F17" s="52" t="str">
        <f>IF('Invoer - Vossenkamp'!$B64&lt;&gt;'Invoer - Vossenkamp'!$E64,Uitgangspunten!$C62*'Invoer - Vossenkamp'!$B47,"")</f>
        <v/>
      </c>
      <c r="G17" s="54"/>
      <c r="H17" s="55" t="str">
        <f>IF('Invoer - Vossenkamp'!$B64&lt;&gt;'Invoer - Vossenkamp'!$E64,(1/'Invoer - Vossenkamp'!$B64)*'Invoer - Vossenkamp'!$B47*(Uitgangspunten!$B$8/Uitgangspunten!$B$9)*24*365.25/1000/'Invoer - Vossenkamp'!$B$12-(1/'Invoer - Vossenkamp'!$E64)*'Invoer - Vossenkamp'!$B47*(Uitgangspunten!$B$8/Uitgangspunten!$B$9)*24*365.25/1000/'Invoer - Vossenkamp'!$B$12,"")</f>
        <v/>
      </c>
      <c r="I17" s="56" t="str">
        <f>IF(H17&lt;&gt;"",H17*'Invoer - Vossenkamp'!$B$12/9.8,"")</f>
        <v/>
      </c>
    </row>
    <row r="18" spans="1:11" x14ac:dyDescent="0.25">
      <c r="A18" s="50" t="s">
        <v>26</v>
      </c>
      <c r="B18" s="51">
        <f>IF('Invoer - Vossenkamp'!$B65&lt;&gt;'Invoer - Vossenkamp'!$E65,Uitgangspunten!$B39*'Invoer - Vossenkamp'!$B48,"")</f>
        <v>431.6</v>
      </c>
      <c r="C18" s="52">
        <f>IF('Invoer - Vossenkamp'!$B65&lt;&gt;'Invoer - Vossenkamp'!$E65,Uitgangspunten!$C39*'Invoer - Vossenkamp'!$B48,"")</f>
        <v>1510.6000000000001</v>
      </c>
      <c r="D18" s="53"/>
      <c r="E18" s="51">
        <f>IF('Invoer - Vossenkamp'!$B65&lt;&gt;'Invoer - Vossenkamp'!$E65,Uitgangspunten!$B63*'Invoer - Vossenkamp'!$B48,"")</f>
        <v>249.00000000000003</v>
      </c>
      <c r="F18" s="52">
        <f>IF('Invoer - Vossenkamp'!$B65&lt;&gt;'Invoer - Vossenkamp'!$E65,Uitgangspunten!$C63*'Invoer - Vossenkamp'!$B48,"")</f>
        <v>498.00000000000006</v>
      </c>
      <c r="G18" s="54"/>
      <c r="H18" s="55">
        <f>IF('Invoer - Vossenkamp'!$B65&lt;&gt;'Invoer - Vossenkamp'!$E65,(1/'Invoer - Vossenkamp'!$B65)*'Invoer - Vossenkamp'!$B48*(Uitgangspunten!$B$8/Uitgangspunten!$B$9)*24*365.25/1000/'Invoer - Vossenkamp'!$B$12-(1/'Invoer - Vossenkamp'!$E65)*'Invoer - Vossenkamp'!$B48*(Uitgangspunten!$B$8/Uitgangspunten!$B$9)*24*365.25/1000/'Invoer - Vossenkamp'!$B$12,"")</f>
        <v>7.2403872558139533</v>
      </c>
      <c r="I18" s="56">
        <f>IF(H18&lt;&gt;"",H18*'Invoer - Vossenkamp'!$B$12/9.8,"")</f>
        <v>97.523583445657323</v>
      </c>
    </row>
    <row r="19" spans="1:11" x14ac:dyDescent="0.25">
      <c r="A19" s="50" t="s">
        <v>29</v>
      </c>
      <c r="B19" s="51" t="str">
        <f>IF('Invoer - Vossenkamp'!$B66&lt;&gt;'Invoer - Vossenkamp'!$E66,Uitgangspunten!$B40*'Invoer - Vossenkamp'!$B49,"")</f>
        <v/>
      </c>
      <c r="C19" s="52" t="str">
        <f>IF('Invoer - Vossenkamp'!$B66&lt;&gt;'Invoer - Vossenkamp'!$E66,Uitgangspunten!$C40*'Invoer - Vossenkamp'!$B49,"")</f>
        <v/>
      </c>
      <c r="D19" s="53"/>
      <c r="E19" s="51" t="str">
        <f>IF('Invoer - Vossenkamp'!$B66&lt;&gt;'Invoer - Vossenkamp'!$E66,Uitgangspunten!$B64*'Invoer - Vossenkamp'!$B49,"")</f>
        <v/>
      </c>
      <c r="F19" s="52" t="str">
        <f>IF('Invoer - Vossenkamp'!$B66&lt;&gt;'Invoer - Vossenkamp'!$E66,Uitgangspunten!$C64*'Invoer - Vossenkamp'!$B49,"")</f>
        <v/>
      </c>
      <c r="G19" s="54"/>
      <c r="H19" s="55" t="str">
        <f>IF('Invoer - Vossenkamp'!$B66&lt;&gt;'Invoer - Vossenkamp'!$E66,(1/'Invoer - Vossenkamp'!$B66)*'Invoer - Vossenkamp'!$B49*(Uitgangspunten!$B$8/Uitgangspunten!$B$9)*24*365.25/1000/'Invoer - Vossenkamp'!$B$12-(1/'Invoer - Vossenkamp'!$E66)*'Invoer - Vossenkamp'!$B49*(Uitgangspunten!$B$8/Uitgangspunten!$B$9)*24*365.25/1000/'Invoer - Vossenkamp'!$B$12,"")</f>
        <v/>
      </c>
      <c r="I19" s="56" t="str">
        <f>IF(H19&lt;&gt;"",H19*'Invoer - Vossenkamp'!$B$12/9.8,"")</f>
        <v/>
      </c>
      <c r="J19" s="57"/>
      <c r="K19" s="57"/>
    </row>
    <row r="20" spans="1:11" x14ac:dyDescent="0.25">
      <c r="A20" s="50" t="s">
        <v>32</v>
      </c>
      <c r="B20" s="51">
        <f>IF('Invoer - Vossenkamp'!$B67&lt;&gt;'Invoer - Vossenkamp'!$E67,IF('Invoer - Vossenkamp'!$B$92="Ja",Uitgangspunten!B41*'Invoer - Vossenkamp'!$B50+Uitgangspunten!B$44*'Invoer - Vossenkamp'!$B50,Uitgangspunten!B41*'Invoer - Vossenkamp'!$B50),"")</f>
        <v>2264.9999999999995</v>
      </c>
      <c r="C20" s="52">
        <f>IF('Invoer - Vossenkamp'!$B67&lt;&gt;'Invoer - Vossenkamp'!$E67,IF('Invoer - Vossenkamp'!$B$92="Ja",Uitgangspunten!C41*'Invoer - Vossenkamp'!$B50+Uitgangspunten!C$44*'Invoer - Vossenkamp'!$B50,Uitgangspunten!C41*'Invoer - Vossenkamp'!$B50),"")</f>
        <v>2868.9999999999995</v>
      </c>
      <c r="D20" s="53"/>
      <c r="E20" s="51">
        <f>IF('Invoer - Vossenkamp'!$B67&lt;&gt;'Invoer - Vossenkamp'!$E67,Uitgangspunten!$B65*'Invoer - Vossenkamp'!$B50,"")</f>
        <v>347.29999999999995</v>
      </c>
      <c r="F20" s="52">
        <f>IF('Invoer - Vossenkamp'!$B67&lt;&gt;'Invoer - Vossenkamp'!$E67,Uitgangspunten!$C65*'Invoer - Vossenkamp'!$B50,"")</f>
        <v>694.59999999999991</v>
      </c>
      <c r="G20" s="54"/>
      <c r="H20" s="55">
        <f>IF('Invoer - Vossenkamp'!$B67&lt;&gt;'Invoer - Vossenkamp'!$E67,('Invoer - Vossenkamp'!$B67)*'Invoer - Vossenkamp'!$B50*(Uitgangspunten!$B$8/Uitgangspunten!$B$9)*24*365.25/1000/'Invoer - Vossenkamp'!$B$12-('Invoer - Vossenkamp'!$E67)*'Invoer - Vossenkamp'!$B50*(Uitgangspunten!$B$8/Uitgangspunten!$B$9)*24*365.25/1000/'Invoer - Vossenkamp'!$B$12,"")</f>
        <v>6.421691759999999</v>
      </c>
      <c r="I20" s="56">
        <f>IF(H20&lt;&gt;"",H20*'Invoer - Vossenkamp'!$B$12/9.8,"")</f>
        <v>86.496256359183647</v>
      </c>
    </row>
    <row r="21" spans="1:11" x14ac:dyDescent="0.25">
      <c r="A21" s="50" t="s">
        <v>31</v>
      </c>
      <c r="B21" s="51">
        <f>IF('Invoer - Vossenkamp'!$B68&lt;&gt;'Invoer - Vossenkamp'!$E68,IF('Invoer - Vossenkamp'!$B$92="Ja",Uitgangspunten!B42*'Invoer - Vossenkamp'!$B51+Uitgangspunten!B$44*'Invoer - Vossenkamp'!$B51,Uitgangspunten!B42*'Invoer - Vossenkamp'!$B51),"")</f>
        <v>2415</v>
      </c>
      <c r="C21" s="52">
        <f>IF('Invoer - Vossenkamp'!$B68&lt;&gt;'Invoer - Vossenkamp'!$E68,IF('Invoer - Vossenkamp'!$B$92="Ja",Uitgangspunten!C42*'Invoer - Vossenkamp'!$B51+Uitgangspunten!C$44*'Invoer - Vossenkamp'!$B51,Uitgangspunten!C42*'Invoer - Vossenkamp'!$B51),"")</f>
        <v>3059.0000000000005</v>
      </c>
      <c r="D21" s="53"/>
      <c r="E21" s="51">
        <f>IF('Invoer - Vossenkamp'!$B68&lt;&gt;'Invoer - Vossenkamp'!$E68,Uitgangspunten!$B66*'Invoer - Vossenkamp'!$B51,"")</f>
        <v>370.3</v>
      </c>
      <c r="F21" s="52">
        <f>IF('Invoer - Vossenkamp'!$B68&lt;&gt;'Invoer - Vossenkamp'!$E68,Uitgangspunten!$C66*'Invoer - Vossenkamp'!$B51,"")</f>
        <v>740.6</v>
      </c>
      <c r="G21" s="54"/>
      <c r="H21" s="55">
        <f>IF('Invoer - Vossenkamp'!$B68&lt;&gt;'Invoer - Vossenkamp'!$E68,('Invoer - Vossenkamp'!$B68)*'Invoer - Vossenkamp'!$B51*(Uitgangspunten!$B$8/Uitgangspunten!$B$9)*24*365.25/1000/'Invoer - Vossenkamp'!$B$12-('Invoer - Vossenkamp'!$E68)*'Invoer - Vossenkamp'!$B51*(Uitgangspunten!$B$8/Uitgangspunten!$B$9)*24*365.25/1000/'Invoer - Vossenkamp'!$B$12,"")</f>
        <v>8.1548174399999933</v>
      </c>
      <c r="I21" s="56">
        <f>IF(H21&lt;&gt;"",H21*'Invoer - Vossenkamp'!$B$12/9.8,"")</f>
        <v>109.84039817142848</v>
      </c>
    </row>
    <row r="22" spans="1:11" x14ac:dyDescent="0.25">
      <c r="A22" s="50" t="s">
        <v>60</v>
      </c>
      <c r="B22" s="51" t="str">
        <f>IF('Invoer - Vossenkamp'!$B69&lt;&gt;'Invoer - Vossenkamp'!$E69,IF('Invoer - Vossenkamp'!$B$92="Ja",Uitgangspunten!B43+Uitgangspunten!B$44,Uitgangspunten!B43),"")</f>
        <v/>
      </c>
      <c r="C22" s="52" t="str">
        <f>IF('Invoer - Vossenkamp'!$B69&lt;&gt;'Invoer - Vossenkamp'!$E69,IF('Invoer - Vossenkamp'!$B$92="Ja",Uitgangspunten!C43+Uitgangspunten!C$44,Uitgangspunten!C43),"")</f>
        <v/>
      </c>
      <c r="D22" s="53"/>
      <c r="E22" s="51" t="str">
        <f>IF('Invoer - Vossenkamp'!$B69&lt;&gt;'Invoer - Vossenkamp'!$E69,Uitgangspunten!$B67*'Invoer - Vossenkamp'!$B52,"")</f>
        <v/>
      </c>
      <c r="F22" s="52" t="str">
        <f>IF('Invoer - Vossenkamp'!$B69&lt;&gt;'Invoer - Vossenkamp'!$E69,Uitgangspunten!$C67*'Invoer - Vossenkamp'!$B52,"")</f>
        <v/>
      </c>
      <c r="G22" s="54"/>
      <c r="H22" s="55" t="str">
        <f>IF('Invoer - Vossenkamp'!$B69&lt;&gt;'Invoer - Vossenkamp'!$E69,('Invoer - Vossenkamp'!$B69)*'Invoer - Vossenkamp'!$B52*(Uitgangspunten!$B$8/Uitgangspunten!$B$9)*24*365.25/1000/'Invoer - Vossenkamp'!$B$12-('Invoer - Vossenkamp'!$E69)*'Invoer - Vossenkamp'!$B52*(Uitgangspunten!$B$8/Uitgangspunten!$B$9)*24*365.25/1000/'Invoer - Vossenkamp'!$B$12,"")</f>
        <v/>
      </c>
      <c r="I22" s="56" t="str">
        <f>IF(H22&lt;&gt;"",H22*'Invoer - Vossenkamp'!$B$12/9.8,"")</f>
        <v/>
      </c>
    </row>
    <row r="23" spans="1:11" x14ac:dyDescent="0.25">
      <c r="A23" s="50" t="s">
        <v>61</v>
      </c>
      <c r="B23" s="51" t="str">
        <f>IF('Invoer - Vossenkamp'!$B70&lt;&gt;'Invoer - Vossenkamp'!$E70,IF('Invoer - Vossenkamp'!$B$92="Ja",Uitgangspunten!B44+Uitgangspunten!B$44,Uitgangspunten!B44),"")</f>
        <v/>
      </c>
      <c r="C23" s="52" t="str">
        <f>IF('Invoer - Vossenkamp'!$B70&lt;&gt;'Invoer - Vossenkamp'!$E70,IF('Invoer - Vossenkamp'!$B$92="Ja",Uitgangspunten!C44+Uitgangspunten!C$44,Uitgangspunten!C44),"")</f>
        <v/>
      </c>
      <c r="D23" s="53"/>
      <c r="E23" s="51" t="str">
        <f>IF('Invoer - Vossenkamp'!$B70&lt;&gt;'Invoer - Vossenkamp'!$E70,Uitgangspunten!$B68*'Invoer - Vossenkamp'!$B53,"")</f>
        <v/>
      </c>
      <c r="F23" s="52" t="str">
        <f>IF('Invoer - Vossenkamp'!$B70&lt;&gt;'Invoer - Vossenkamp'!$E70,Uitgangspunten!$C68*'Invoer - Vossenkamp'!$B53,"")</f>
        <v/>
      </c>
      <c r="G23" s="54"/>
      <c r="H23" s="55" t="str">
        <f>IF('Invoer - Vossenkamp'!$B70&lt;&gt;'Invoer - Vossenkamp'!$E70,('Invoer - Vossenkamp'!$B70)*'Invoer - Vossenkamp'!$B53*(Uitgangspunten!$B$8/Uitgangspunten!$B$9)*24*365.25/1000/'Invoer - Vossenkamp'!$B$12-('Invoer - Vossenkamp'!$E70)*'Invoer - Vossenkamp'!$B53*(Uitgangspunten!$B$8/Uitgangspunten!$B$9)*24*365.25/1000/'Invoer - Vossenkamp'!$B$12,"")</f>
        <v/>
      </c>
      <c r="I23" s="56" t="str">
        <f>IF(H23&lt;&gt;"",H23*'Invoer - Vossenkamp'!$B$12/9.8,"")</f>
        <v/>
      </c>
    </row>
    <row r="24" spans="1:11" x14ac:dyDescent="0.25">
      <c r="A24" s="50" t="s">
        <v>62</v>
      </c>
      <c r="B24" s="51" t="str">
        <f>IF('Invoer - Vossenkamp'!$B71&lt;&gt;'Invoer - Vossenkamp'!$E71,IF('Invoer - Vossenkamp'!$B$92="Ja",Uitgangspunten!B45+Uitgangspunten!B$44,Uitgangspunten!B45),"")</f>
        <v/>
      </c>
      <c r="C24" s="52" t="str">
        <f>IF('Invoer - Vossenkamp'!$B71&lt;&gt;'Invoer - Vossenkamp'!$E71,IF('Invoer - Vossenkamp'!$B$92="Ja",Uitgangspunten!C45+Uitgangspunten!C$44,Uitgangspunten!C45),"")</f>
        <v/>
      </c>
      <c r="D24" s="53"/>
      <c r="E24" s="51" t="str">
        <f>IF('Invoer - Vossenkamp'!$B71&lt;&gt;'Invoer - Vossenkamp'!$E71,Uitgangspunten!$B69*'Invoer - Vossenkamp'!$B54,"")</f>
        <v/>
      </c>
      <c r="F24" s="52" t="str">
        <f>IF('Invoer - Vossenkamp'!$B71&lt;&gt;'Invoer - Vossenkamp'!$E71,Uitgangspunten!$C69*'Invoer - Vossenkamp'!$B54,"")</f>
        <v/>
      </c>
      <c r="G24" s="54"/>
      <c r="H24" s="55" t="str">
        <f>IF('Invoer - Vossenkamp'!$B71&lt;&gt;'Invoer - Vossenkamp'!$E71,('Invoer - Vossenkamp'!$B71)*'Invoer - Vossenkamp'!$B54*(Uitgangspunten!$B$8/Uitgangspunten!$B$9)*24*365.25/1000/'Invoer - Vossenkamp'!$B$12-('Invoer - Vossenkamp'!$E71)*'Invoer - Vossenkamp'!$B54*(Uitgangspunten!$B$8/Uitgangspunten!$B$9)*24*365.25/1000/'Invoer - Vossenkamp'!$B$12,"")</f>
        <v/>
      </c>
      <c r="I24" s="56" t="str">
        <f>IF(H24&lt;&gt;"",H24*'Invoer - Vossenkamp'!$B$12/9.8,"")</f>
        <v/>
      </c>
    </row>
    <row r="25" spans="1:11" ht="15.75" thickBot="1" x14ac:dyDescent="0.3">
      <c r="A25" s="58" t="s">
        <v>70</v>
      </c>
      <c r="B25" s="59">
        <f>Uitgangspunten!B45</f>
        <v>2000</v>
      </c>
      <c r="C25" s="60">
        <f>Uitgangspunten!C45</f>
        <v>4000</v>
      </c>
      <c r="D25" s="61"/>
      <c r="E25" s="59">
        <v>0</v>
      </c>
      <c r="F25" s="60">
        <v>0</v>
      </c>
      <c r="G25" s="62"/>
      <c r="H25" s="63">
        <f>Uitgangspunten!B21*'Invoer - Vossenkamp'!B23*'Invoer - Vossenkamp'!B93*Uitgangspunten!B22</f>
        <v>6.2918227272727263</v>
      </c>
      <c r="I25" s="64">
        <f>IF(H25&lt;&gt;"",H25*'Invoer - Vossenkamp'!$B$12/9.8,"")</f>
        <v>84.746999999999971</v>
      </c>
    </row>
    <row r="26" spans="1:11" s="42" customFormat="1" ht="16.5" thickTop="1" thickBot="1" x14ac:dyDescent="0.3">
      <c r="A26" s="65" t="s">
        <v>6</v>
      </c>
      <c r="B26" s="66">
        <f t="shared" ref="B26:F26" si="0">SUM(B14:B25)</f>
        <v>8117.619999999999</v>
      </c>
      <c r="C26" s="67">
        <f t="shared" si="0"/>
        <v>15368.18</v>
      </c>
      <c r="D26" s="68"/>
      <c r="E26" s="66">
        <f t="shared" si="0"/>
        <v>1161</v>
      </c>
      <c r="F26" s="67">
        <f t="shared" si="0"/>
        <v>2322</v>
      </c>
      <c r="G26" s="69"/>
      <c r="H26" s="70">
        <f>SUM(H14:H25)</f>
        <v>69.239998667633131</v>
      </c>
      <c r="I26" s="71">
        <f>SUM(I14:I25)</f>
        <v>932.62039021709916</v>
      </c>
    </row>
    <row r="27" spans="1:11" ht="15.75" thickTop="1" x14ac:dyDescent="0.25"/>
    <row r="28" spans="1:11" x14ac:dyDescent="0.25">
      <c r="A28" s="32" t="s">
        <v>66</v>
      </c>
      <c r="B28" s="32">
        <f>'Invoer - Vossenkamp'!B23</f>
        <v>127.92</v>
      </c>
    </row>
    <row r="29" spans="1:11" x14ac:dyDescent="0.25">
      <c r="A29" s="32" t="s">
        <v>68</v>
      </c>
      <c r="B29" s="32">
        <f>'Invoer - Vossenkamp'!B24</f>
        <v>103.04999999999998</v>
      </c>
    </row>
    <row r="30" spans="1:11" x14ac:dyDescent="0.25">
      <c r="A30" s="32" t="s">
        <v>69</v>
      </c>
      <c r="B30" s="32">
        <f>'Invoer - Vossenkamp'!B25</f>
        <v>59.4</v>
      </c>
    </row>
    <row r="31" spans="1:11" x14ac:dyDescent="0.25">
      <c r="A31" s="42" t="s">
        <v>67</v>
      </c>
      <c r="B31" s="72">
        <f>B28-H26</f>
        <v>58.680001332366871</v>
      </c>
    </row>
    <row r="35" spans="5:6" x14ac:dyDescent="0.25">
      <c r="E35" s="73"/>
      <c r="F35" s="73"/>
    </row>
    <row r="36" spans="5:6" x14ac:dyDescent="0.25">
      <c r="E36" s="73"/>
      <c r="F36" s="73"/>
    </row>
  </sheetData>
  <sheetProtection algorithmName="SHA-512" hashValue="pcZCf2TDMnKyYfj1sJkjnJoOKf4WCcv9RRJ92Sis734rwzq8CHPnmw3pj72XWOD3S3hrkmJ3dZgQHxVm+Rtq4w==" saltValue="3r0MV5RPcuw5IoT/Ccj+dw==" spinCount="100000" sheet="1" objects="1" scenarios="1"/>
  <mergeCells count="3">
    <mergeCell ref="B12:C12"/>
    <mergeCell ref="E12:F12"/>
    <mergeCell ref="H12:I12"/>
  </mergeCells>
  <conditionalFormatting sqref="B29">
    <cfRule type="expression" dxfId="11" priority="1" stopIfTrue="1">
      <formula>AND($B$29&gt;=$B$31)</formula>
    </cfRule>
    <cfRule type="expression" dxfId="10" priority="2" stopIfTrue="1">
      <formula>AND(($B$29+$B$29*0.1)&gt;=$B$31)</formula>
    </cfRule>
    <cfRule type="expression" dxfId="9" priority="3" stopIfTrue="1">
      <formula>AND(($B$29+$B$29*0.1)&lt;$B$31)</formula>
    </cfRule>
  </conditionalFormatting>
  <conditionalFormatting sqref="B30">
    <cfRule type="expression" dxfId="8" priority="4" stopIfTrue="1">
      <formula>AND($B$30&gt;=$B$31)</formula>
    </cfRule>
    <cfRule type="expression" dxfId="7" priority="5" stopIfTrue="1">
      <formula>AND(($B$30+$B$30*0.1)&gt;=$B$31)</formula>
    </cfRule>
    <cfRule type="expression" dxfId="6" priority="6" stopIfTrue="1">
      <formula>AND(($B$30+$B$30*0.1)&lt;$B$31)</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1FF4-8029-4206-9969-642D3F68B054}">
  <sheetPr codeName="Blad8"/>
  <dimension ref="A8:K93"/>
  <sheetViews>
    <sheetView topLeftCell="A49" workbookViewId="0">
      <selection activeCell="K62" sqref="K62"/>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17</v>
      </c>
    </row>
    <row r="9" spans="1:3" x14ac:dyDescent="0.25">
      <c r="A9" s="4" t="s">
        <v>7</v>
      </c>
      <c r="B9" s="74"/>
    </row>
    <row r="10" spans="1:3" x14ac:dyDescent="0.25">
      <c r="A10" s="4" t="s">
        <v>9</v>
      </c>
      <c r="B10" s="74"/>
    </row>
    <row r="11" spans="1:3" x14ac:dyDescent="0.25">
      <c r="A11" s="4" t="s">
        <v>10</v>
      </c>
      <c r="B11" s="74"/>
    </row>
    <row r="12" spans="1:3" x14ac:dyDescent="0.25">
      <c r="A12" s="4" t="s">
        <v>11</v>
      </c>
      <c r="B12" s="74"/>
      <c r="C12" s="3" t="s">
        <v>3</v>
      </c>
    </row>
    <row r="13" spans="1:3" x14ac:dyDescent="0.25">
      <c r="A13" s="4" t="s">
        <v>12</v>
      </c>
      <c r="B13" s="74"/>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18</v>
      </c>
    </row>
    <row r="22" spans="1:3" x14ac:dyDescent="0.25">
      <c r="A22" s="4" t="s">
        <v>13</v>
      </c>
      <c r="B22" s="74"/>
      <c r="C22" s="3" t="s">
        <v>14</v>
      </c>
    </row>
    <row r="23" spans="1:3" x14ac:dyDescent="0.25">
      <c r="A23" s="4" t="s">
        <v>15</v>
      </c>
      <c r="B23" s="74"/>
      <c r="C23" s="3" t="s">
        <v>14</v>
      </c>
    </row>
    <row r="24" spans="1:3" x14ac:dyDescent="0.25">
      <c r="A24" s="4" t="s">
        <v>44</v>
      </c>
      <c r="B24" s="2" t="str">
        <f>IF(AND(B22&lt;&gt;"",B11&lt;&gt;""),60+105*(B11-1),"")</f>
        <v/>
      </c>
      <c r="C24" s="3" t="s">
        <v>14</v>
      </c>
    </row>
    <row r="25" spans="1:3" x14ac:dyDescent="0.25">
      <c r="A25" s="4" t="s">
        <v>45</v>
      </c>
      <c r="B25" s="2" t="str">
        <f>IF(AND(B22&lt;&gt;"",B11&lt;&gt;""),43+40*(B11-1),"")</f>
        <v/>
      </c>
      <c r="C25" s="3" t="s">
        <v>14</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19</v>
      </c>
    </row>
    <row r="45" spans="1:3" x14ac:dyDescent="0.25">
      <c r="A45" s="4" t="s">
        <v>16</v>
      </c>
      <c r="B45" s="74"/>
      <c r="C45" s="3" t="s">
        <v>3</v>
      </c>
    </row>
    <row r="46" spans="1:3" x14ac:dyDescent="0.25">
      <c r="A46" s="4" t="s">
        <v>24</v>
      </c>
      <c r="B46" s="74"/>
      <c r="C46" s="3" t="s">
        <v>3</v>
      </c>
    </row>
    <row r="47" spans="1:3" x14ac:dyDescent="0.25">
      <c r="A47" s="4" t="s">
        <v>25</v>
      </c>
      <c r="B47" s="74"/>
      <c r="C47" s="3" t="s">
        <v>3</v>
      </c>
    </row>
    <row r="48" spans="1:3" x14ac:dyDescent="0.25">
      <c r="A48" s="4" t="s">
        <v>26</v>
      </c>
      <c r="B48" s="74"/>
      <c r="C48" s="3" t="s">
        <v>3</v>
      </c>
    </row>
    <row r="49" spans="1:11" x14ac:dyDescent="0.25">
      <c r="A49" s="4" t="s">
        <v>29</v>
      </c>
      <c r="B49" s="74"/>
      <c r="C49" s="3" t="s">
        <v>3</v>
      </c>
    </row>
    <row r="50" spans="1:11" x14ac:dyDescent="0.25">
      <c r="A50" s="4" t="s">
        <v>32</v>
      </c>
      <c r="B50" s="74"/>
      <c r="C50" s="3" t="s">
        <v>3</v>
      </c>
    </row>
    <row r="51" spans="1:11" x14ac:dyDescent="0.25">
      <c r="A51" s="4" t="s">
        <v>31</v>
      </c>
      <c r="B51" s="74"/>
      <c r="C51" s="3" t="s">
        <v>3</v>
      </c>
    </row>
    <row r="52" spans="1:11" x14ac:dyDescent="0.25">
      <c r="A52" s="4" t="s">
        <v>60</v>
      </c>
      <c r="B52" s="74"/>
      <c r="C52" s="3" t="s">
        <v>3</v>
      </c>
    </row>
    <row r="53" spans="1:11" x14ac:dyDescent="0.25">
      <c r="A53" s="4" t="s">
        <v>61</v>
      </c>
      <c r="B53" s="74"/>
      <c r="C53" s="3" t="s">
        <v>3</v>
      </c>
    </row>
    <row r="54" spans="1:11" x14ac:dyDescent="0.25">
      <c r="A54" s="4" t="s">
        <v>62</v>
      </c>
      <c r="B54" s="74"/>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20</v>
      </c>
      <c r="B61" s="5" t="s">
        <v>36</v>
      </c>
      <c r="E61" s="5" t="s">
        <v>76</v>
      </c>
      <c r="H61" s="1" t="s">
        <v>41</v>
      </c>
    </row>
    <row r="62" spans="1:11" x14ac:dyDescent="0.25">
      <c r="A62" s="4" t="s">
        <v>21</v>
      </c>
      <c r="B62" s="74"/>
      <c r="C62" s="3" t="s">
        <v>22</v>
      </c>
      <c r="E62" s="74"/>
      <c r="F62" s="3" t="s">
        <v>22</v>
      </c>
      <c r="H62" s="2">
        <v>6</v>
      </c>
      <c r="I62" s="3" t="s">
        <v>22</v>
      </c>
      <c r="K62" s="6"/>
    </row>
    <row r="63" spans="1:11" x14ac:dyDescent="0.25">
      <c r="A63" s="4" t="s">
        <v>23</v>
      </c>
      <c r="B63" s="74"/>
      <c r="C63" s="3" t="s">
        <v>4</v>
      </c>
      <c r="E63" s="74"/>
      <c r="F63" s="3" t="s">
        <v>4</v>
      </c>
      <c r="H63" s="2">
        <v>1.4</v>
      </c>
      <c r="I63" s="3" t="s">
        <v>4</v>
      </c>
      <c r="K63" s="6"/>
    </row>
    <row r="64" spans="1:11" x14ac:dyDescent="0.25">
      <c r="A64" s="4" t="s">
        <v>27</v>
      </c>
      <c r="B64" s="74"/>
      <c r="C64" s="3" t="s">
        <v>22</v>
      </c>
      <c r="E64" s="74"/>
      <c r="F64" s="3" t="s">
        <v>22</v>
      </c>
      <c r="H64" s="2">
        <v>8</v>
      </c>
      <c r="I64" s="3" t="s">
        <v>22</v>
      </c>
      <c r="K64" s="6"/>
    </row>
    <row r="65" spans="1:11" x14ac:dyDescent="0.25">
      <c r="A65" s="4" t="s">
        <v>28</v>
      </c>
      <c r="B65" s="75"/>
      <c r="C65" s="3" t="s">
        <v>22</v>
      </c>
      <c r="E65" s="74"/>
      <c r="F65" s="3" t="s">
        <v>22</v>
      </c>
      <c r="H65" s="2">
        <v>8</v>
      </c>
      <c r="I65" s="3" t="s">
        <v>22</v>
      </c>
      <c r="K65" s="6"/>
    </row>
    <row r="66" spans="1:11" x14ac:dyDescent="0.25">
      <c r="A66" s="4" t="s">
        <v>30</v>
      </c>
      <c r="B66" s="75"/>
      <c r="C66" s="3" t="s">
        <v>22</v>
      </c>
      <c r="E66" s="74"/>
      <c r="F66" s="3" t="s">
        <v>22</v>
      </c>
      <c r="H66" s="2">
        <v>3.5</v>
      </c>
      <c r="I66" s="3" t="s">
        <v>22</v>
      </c>
      <c r="K66" s="6"/>
    </row>
    <row r="67" spans="1:11" x14ac:dyDescent="0.25">
      <c r="A67" s="4" t="s">
        <v>33</v>
      </c>
      <c r="B67" s="75"/>
      <c r="C67" s="3" t="s">
        <v>4</v>
      </c>
      <c r="E67" s="74"/>
      <c r="F67" s="3" t="s">
        <v>4</v>
      </c>
      <c r="H67" s="2">
        <v>1</v>
      </c>
      <c r="I67" s="3" t="s">
        <v>4</v>
      </c>
      <c r="K67" s="6"/>
    </row>
    <row r="68" spans="1:11" x14ac:dyDescent="0.25">
      <c r="A68" s="4" t="s">
        <v>34</v>
      </c>
      <c r="B68" s="74"/>
      <c r="C68" s="3" t="s">
        <v>4</v>
      </c>
      <c r="E68" s="74"/>
      <c r="F68" s="3" t="s">
        <v>4</v>
      </c>
      <c r="H68" s="2">
        <v>1</v>
      </c>
      <c r="I68" s="3" t="s">
        <v>4</v>
      </c>
      <c r="K68" s="6"/>
    </row>
    <row r="69" spans="1:11" x14ac:dyDescent="0.25">
      <c r="A69" s="4" t="s">
        <v>63</v>
      </c>
      <c r="B69" s="74"/>
      <c r="C69" s="3" t="s">
        <v>4</v>
      </c>
      <c r="E69" s="74"/>
      <c r="F69" s="3" t="s">
        <v>4</v>
      </c>
      <c r="H69" s="2">
        <v>1.4</v>
      </c>
      <c r="I69" s="3" t="s">
        <v>4</v>
      </c>
      <c r="K69" s="6"/>
    </row>
    <row r="70" spans="1:11" x14ac:dyDescent="0.25">
      <c r="A70" s="4" t="s">
        <v>64</v>
      </c>
      <c r="B70" s="74"/>
      <c r="C70" s="3" t="s">
        <v>4</v>
      </c>
      <c r="E70" s="74"/>
      <c r="F70" s="3" t="s">
        <v>4</v>
      </c>
      <c r="H70" s="2">
        <v>1.4</v>
      </c>
      <c r="I70" s="3" t="s">
        <v>4</v>
      </c>
      <c r="K70" s="6"/>
    </row>
    <row r="71" spans="1:11" x14ac:dyDescent="0.25">
      <c r="A71" s="4" t="s">
        <v>65</v>
      </c>
      <c r="B71" s="74"/>
      <c r="C71" s="3" t="s">
        <v>4</v>
      </c>
      <c r="E71" s="74"/>
      <c r="F71" s="3" t="s">
        <v>4</v>
      </c>
      <c r="H71" s="2">
        <v>1.4</v>
      </c>
      <c r="I71" s="3" t="s">
        <v>4</v>
      </c>
    </row>
    <row r="72" spans="1:11" x14ac:dyDescent="0.25">
      <c r="A72" s="4"/>
      <c r="H72" s="2"/>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56</v>
      </c>
    </row>
    <row r="91" spans="1:2" x14ac:dyDescent="0.25">
      <c r="A91" s="4" t="s">
        <v>43</v>
      </c>
      <c r="B91" s="74"/>
    </row>
    <row r="92" spans="1:2" x14ac:dyDescent="0.25">
      <c r="A92" s="4" t="s">
        <v>57</v>
      </c>
      <c r="B92" s="74"/>
    </row>
    <row r="93" spans="1:2" x14ac:dyDescent="0.25">
      <c r="A93" s="4" t="s">
        <v>75</v>
      </c>
      <c r="B93" s="76" t="str">
        <f>IFERROR('Invoer - Uw woning'!B49/'Invoer - Uw woning'!B12,"")</f>
        <v/>
      </c>
    </row>
  </sheetData>
  <sheetProtection algorithmName="SHA-512" hashValue="gpycM99+8oQ8tnTOypm+e1DfaffEuphTjGisuao9L4Kvdiaq7g+E62UYn3WDewdO8FaQUkpgmWTfxoHPq82VzQ==" saltValue="1sskDmzim9BoCy0jWEw4Pg=="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ADDC17-9DCD-4EC7-9BCD-0A4E05F9E58D}">
          <x14:formula1>
            <xm:f>Lijsten!$A$1:$A$5</xm:f>
          </x14:formula1>
          <xm:sqref>B13</xm:sqref>
        </x14:dataValidation>
        <x14:dataValidation type="list" allowBlank="1" showInputMessage="1" showErrorMessage="1" xr:uid="{2548CFD8-D548-473F-834D-7871A68D1428}">
          <x14:formula1>
            <xm:f>Lijsten!$C$1:$C$3</xm:f>
          </x14:formula1>
          <xm:sqref>B91</xm:sqref>
        </x14:dataValidation>
        <x14:dataValidation type="list" allowBlank="1" showInputMessage="1" showErrorMessage="1" xr:uid="{868433F8-F218-4242-AAFC-74FDBE801223}">
          <x14:formula1>
            <xm:f>Lijsten!$C$1:$C$2</xm:f>
          </x14:formula1>
          <xm:sqref>B92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A856-38A0-4C3E-BA1F-655ECA041072}">
  <sheetPr codeName="Blad9"/>
  <dimension ref="A1:K36"/>
  <sheetViews>
    <sheetView workbookViewId="0">
      <selection activeCell="N19" sqref="N19"/>
    </sheetView>
  </sheetViews>
  <sheetFormatPr defaultRowHeight="15" x14ac:dyDescent="0.25"/>
  <cols>
    <col min="1" max="1" width="36.140625" style="32" bestFit="1" customWidth="1"/>
    <col min="2" max="2" width="12.7109375" style="32" customWidth="1"/>
    <col min="3" max="3" width="13.28515625" style="32" customWidth="1"/>
    <col min="4" max="4" width="3" style="32" customWidth="1"/>
    <col min="5" max="6" width="16" style="32" customWidth="1"/>
    <col min="7" max="7" width="4.5703125" style="32" customWidth="1"/>
    <col min="8" max="8" width="19.28515625" style="32" customWidth="1"/>
    <col min="9" max="9" width="21" style="32" customWidth="1"/>
    <col min="10" max="16384" width="9.140625" style="32"/>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3"/>
    </row>
    <row r="9" spans="1:9" ht="15.75" customHeight="1" x14ac:dyDescent="0.35">
      <c r="A9" s="33"/>
    </row>
    <row r="10" spans="1:9" ht="15.75" customHeight="1" x14ac:dyDescent="0.35">
      <c r="A10" s="33"/>
    </row>
    <row r="11" spans="1:9" ht="15.75" customHeight="1" thickBot="1" x14ac:dyDescent="0.4">
      <c r="A11" s="33"/>
    </row>
    <row r="12" spans="1:9" ht="31.5" customHeight="1" thickTop="1" x14ac:dyDescent="0.25">
      <c r="A12" s="34"/>
      <c r="B12" s="83" t="s">
        <v>37</v>
      </c>
      <c r="C12" s="84"/>
      <c r="D12" s="35"/>
      <c r="E12" s="85" t="s">
        <v>73</v>
      </c>
      <c r="F12" s="86"/>
      <c r="G12" s="35"/>
      <c r="H12" s="83" t="s">
        <v>40</v>
      </c>
      <c r="I12" s="84"/>
    </row>
    <row r="13" spans="1:9" s="42" customFormat="1" ht="49.5" customHeight="1" thickBot="1" x14ac:dyDescent="0.3">
      <c r="A13" s="36" t="s">
        <v>82</v>
      </c>
      <c r="B13" s="37" t="s">
        <v>38</v>
      </c>
      <c r="C13" s="38" t="s">
        <v>39</v>
      </c>
      <c r="D13" s="39"/>
      <c r="E13" s="37" t="s">
        <v>38</v>
      </c>
      <c r="F13" s="38" t="s">
        <v>39</v>
      </c>
      <c r="G13" s="39"/>
      <c r="H13" s="40" t="s">
        <v>54</v>
      </c>
      <c r="I13" s="41" t="s">
        <v>90</v>
      </c>
    </row>
    <row r="14" spans="1:9" ht="15.75" thickTop="1" x14ac:dyDescent="0.25">
      <c r="A14" s="43" t="s">
        <v>42</v>
      </c>
      <c r="B14" s="44" t="str">
        <f>IF('Invoer - Uw woning'!$B$91="Nee",370,IF(OR('Invoer - Uw woning'!$B$91="Ja",'Invoer - Uw woning'!$B$91="Onbekend"),0,""))</f>
        <v/>
      </c>
      <c r="C14" s="45" t="str">
        <f>IF('Invoer - Uw woning'!$B$91="Nee",2700,IF('Invoer - Uw woning'!$B$91="Onbekend",2700,IF('Invoer - Uw woning'!B91="Ja",0,"")))</f>
        <v/>
      </c>
      <c r="D14" s="46"/>
      <c r="E14" s="44" t="str">
        <f>IF(I14&lt;&gt;"",0,"")</f>
        <v/>
      </c>
      <c r="F14" s="45" t="str">
        <f>IF(I14&lt;&gt;"",0,"")</f>
        <v/>
      </c>
      <c r="G14" s="47"/>
      <c r="H14" s="48" t="str">
        <f>IF(I14&lt;&gt;"",I14*9.8/'Invoer - Uw woning'!B12,"")</f>
        <v/>
      </c>
      <c r="I14" s="49" t="str">
        <f>IF(AND(C14&lt;&gt;0,C14&lt;&gt;""),50,"")</f>
        <v/>
      </c>
    </row>
    <row r="15" spans="1:9" x14ac:dyDescent="0.25">
      <c r="A15" s="50" t="s">
        <v>16</v>
      </c>
      <c r="B15" s="51" t="str">
        <f>IF('Invoer - Uw woning'!$B62&lt;&gt;'Invoer - Uw woning'!$E62,Uitgangspunten!$B36*'Invoer - Uw woning'!$B45,"")</f>
        <v/>
      </c>
      <c r="C15" s="52" t="str">
        <f>IF('Invoer - Uw woning'!$B62&lt;&gt;'Invoer - Uw woning'!$E62,Uitgangspunten!$C36*'Invoer - Uw woning'!$B45,"")</f>
        <v/>
      </c>
      <c r="D15" s="53"/>
      <c r="E15" s="51" t="str">
        <f>IF('Invoer - Uw woning'!$B62&lt;&gt;'Invoer - Uw woning'!$E62,Uitgangspunten!$B60*'Invoer - Uw woning'!$B45,"")</f>
        <v/>
      </c>
      <c r="F15" s="52" t="str">
        <f>IF('Invoer - Uw woning'!$B62&lt;&gt;'Invoer - Uw woning'!$E62,Uitgangspunten!$C60*'Invoer - Uw woning'!$B45,"")</f>
        <v/>
      </c>
      <c r="G15" s="54"/>
      <c r="H15" s="55" t="str">
        <f>IF('Invoer - Uw woning'!$B62&lt;&gt;'Invoer - Uw woning'!$E62,(1/'Invoer - Uw woning'!$B62)*'Invoer - Uw woning'!$B45*(Uitgangspunten!$B$8/Uitgangspunten!$B$9)*24*365.25/1000/'Invoer - Uw woning'!$B$12-(1/'Invoer - Uw woning'!$E62)*'Invoer - Uw woning'!$B45*(Uitgangspunten!$B$8/Uitgangspunten!$B$9)*24*365.25/1000/'Invoer - Uw woning'!$B$12,"")</f>
        <v/>
      </c>
      <c r="I15" s="56" t="str">
        <f>IF(H15&lt;&gt;"",H15*'Invoer - Uw woning'!$B$12/9.8,"")</f>
        <v/>
      </c>
    </row>
    <row r="16" spans="1:9" x14ac:dyDescent="0.25">
      <c r="A16" s="50" t="s">
        <v>24</v>
      </c>
      <c r="B16" s="51" t="str">
        <f>IF('Invoer - Uw woning'!$B63&lt;&gt;'Invoer - Uw woning'!$E63,Uitgangspunten!$B37*'Invoer - Uw woning'!$B46,"")</f>
        <v/>
      </c>
      <c r="C16" s="52" t="str">
        <f>IF('Invoer - Uw woning'!$B63&lt;&gt;'Invoer - Uw woning'!$E63,Uitgangspunten!$C37*'Invoer - Uw woning'!$B46,"")</f>
        <v/>
      </c>
      <c r="D16" s="53"/>
      <c r="E16" s="51" t="str">
        <f>IF('Invoer - Uw woning'!$B63&lt;&gt;'Invoer - Uw woning'!$E63,Uitgangspunten!$B61*'Invoer - Uw woning'!$B46,"")</f>
        <v/>
      </c>
      <c r="F16" s="52" t="str">
        <f>IF('Invoer - Uw woning'!$B63&lt;&gt;'Invoer - Uw woning'!$E63,Uitgangspunten!$C61*'Invoer - Uw woning'!$B46,"")</f>
        <v/>
      </c>
      <c r="G16" s="54"/>
      <c r="H16" s="55" t="str">
        <f>IF('Invoer - Uw woning'!$B63&lt;&gt;'Invoer - Uw woning'!$E63,('Invoer - Uw woning'!$B63)*'Invoer - Uw woning'!$B46*(Uitgangspunten!$B$8/Uitgangspunten!$B$9)*24*365.25/1000/'Invoer - Uw woning'!$B$12-('Invoer - Uw woning'!$E63)*'Invoer - Uw woning'!$B46*(Uitgangspunten!$B$8/Uitgangspunten!$B$9)*24*365.25/1000/'Invoer - Uw woning'!$B$12,"")</f>
        <v/>
      </c>
      <c r="I16" s="56" t="str">
        <f>IF(H16&lt;&gt;"",H16*'Invoer - Uw woning'!$B$12/9.8,"")</f>
        <v/>
      </c>
    </row>
    <row r="17" spans="1:11" x14ac:dyDescent="0.25">
      <c r="A17" s="50" t="s">
        <v>25</v>
      </c>
      <c r="B17" s="51" t="str">
        <f>IF('Invoer - Uw woning'!$B64&lt;&gt;'Invoer - Uw woning'!$E64,Uitgangspunten!$B38*'Invoer - Uw woning'!$B47,"")</f>
        <v/>
      </c>
      <c r="C17" s="52" t="str">
        <f>IF('Invoer - Uw woning'!$B64&lt;&gt;'Invoer - Uw woning'!$E64,Uitgangspunten!$C38*'Invoer - Uw woning'!$B47,"")</f>
        <v/>
      </c>
      <c r="D17" s="53"/>
      <c r="E17" s="51" t="str">
        <f>IF('Invoer - Uw woning'!$B64&lt;&gt;'Invoer - Uw woning'!$E64,Uitgangspunten!$B62*'Invoer - Uw woning'!$B47,"")</f>
        <v/>
      </c>
      <c r="F17" s="52" t="str">
        <f>IF('Invoer - Uw woning'!$B64&lt;&gt;'Invoer - Uw woning'!$E64,Uitgangspunten!$C62*'Invoer - Uw woning'!$B47,"")</f>
        <v/>
      </c>
      <c r="G17" s="54"/>
      <c r="H17" s="55" t="str">
        <f>IF('Invoer - Uw woning'!$B64&lt;&gt;'Invoer - Uw woning'!$E64,(1/'Invoer - Uw woning'!$B64)*'Invoer - Uw woning'!$B47*(Uitgangspunten!$B$8/Uitgangspunten!$B$9)*24*365.25/1000/'Invoer - Uw woning'!$B$12-(1/'Invoer - Uw woning'!$E64)*'Invoer - Uw woning'!$B47*(Uitgangspunten!$B$8/Uitgangspunten!$B$9)*24*365.25/1000/'Invoer - Uw woning'!$B$12,"")</f>
        <v/>
      </c>
      <c r="I17" s="56" t="str">
        <f>IF(H17&lt;&gt;"",H17*'Invoer - Uw woning'!$B$12/9.8,"")</f>
        <v/>
      </c>
    </row>
    <row r="18" spans="1:11" x14ac:dyDescent="0.25">
      <c r="A18" s="50" t="s">
        <v>26</v>
      </c>
      <c r="B18" s="51" t="str">
        <f>IF('Invoer - Uw woning'!$B65&lt;&gt;'Invoer - Uw woning'!$E65,Uitgangspunten!$B39*'Invoer - Uw woning'!$B48,"")</f>
        <v/>
      </c>
      <c r="C18" s="52" t="str">
        <f>IF('Invoer - Uw woning'!$B65&lt;&gt;'Invoer - Uw woning'!$E65,Uitgangspunten!$C39*'Invoer - Uw woning'!$B48,"")</f>
        <v/>
      </c>
      <c r="D18" s="53"/>
      <c r="E18" s="51" t="str">
        <f>IF('Invoer - Uw woning'!$B65&lt;&gt;'Invoer - Uw woning'!$E65,Uitgangspunten!$B63*'Invoer - Uw woning'!$B48,"")</f>
        <v/>
      </c>
      <c r="F18" s="52" t="str">
        <f>IF('Invoer - Uw woning'!$B65&lt;&gt;'Invoer - Uw woning'!$E65,Uitgangspunten!$C63*'Invoer - Uw woning'!$B48,"")</f>
        <v/>
      </c>
      <c r="G18" s="54"/>
      <c r="H18" s="55" t="str">
        <f>IF('Invoer - Uw woning'!$B65&lt;&gt;'Invoer - Uw woning'!$E65,(1/'Invoer - Uw woning'!$B65)*'Invoer - Uw woning'!$B48*(Uitgangspunten!$B$8/Uitgangspunten!$B$9)*24*365.25/1000/'Invoer - Uw woning'!$B$12-(1/'Invoer - Uw woning'!$E65)*'Invoer - Uw woning'!$B48*(Uitgangspunten!$B$8/Uitgangspunten!$B$9)*24*365.25/1000/'Invoer - Uw woning'!$B$12,"")</f>
        <v/>
      </c>
      <c r="I18" s="56" t="str">
        <f>IF(H18&lt;&gt;"",H18*'Invoer - Uw woning'!$B$12/9.8,"")</f>
        <v/>
      </c>
    </row>
    <row r="19" spans="1:11" x14ac:dyDescent="0.25">
      <c r="A19" s="50" t="s">
        <v>29</v>
      </c>
      <c r="B19" s="51" t="str">
        <f>IF('Invoer - Uw woning'!$B66&lt;&gt;'Invoer - Uw woning'!$E66,Uitgangspunten!$B40*'Invoer - Uw woning'!$B49,"")</f>
        <v/>
      </c>
      <c r="C19" s="52" t="str">
        <f>IF('Invoer - Uw woning'!$B66&lt;&gt;'Invoer - Uw woning'!$E66,Uitgangspunten!$C40*'Invoer - Uw woning'!$B49,"")</f>
        <v/>
      </c>
      <c r="D19" s="53"/>
      <c r="E19" s="51" t="str">
        <f>IF('Invoer - Uw woning'!$B66&lt;&gt;'Invoer - Uw woning'!$E66,Uitgangspunten!$B64*'Invoer - Uw woning'!$B49,"")</f>
        <v/>
      </c>
      <c r="F19" s="52" t="str">
        <f>IF('Invoer - Uw woning'!$B66&lt;&gt;'Invoer - Uw woning'!$E66,Uitgangspunten!$C64*'Invoer - Uw woning'!$B49,"")</f>
        <v/>
      </c>
      <c r="G19" s="54"/>
      <c r="H19" s="55" t="str">
        <f>IF('Invoer - Uw woning'!$B66&lt;&gt;'Invoer - Uw woning'!$E66,(1/'Invoer - Uw woning'!$B66)*'Invoer - Uw woning'!$B49*(Uitgangspunten!$B$8/Uitgangspunten!$B$9)*24*365.25/1000/'Invoer - Uw woning'!$B$12-(1/'Invoer - Uw woning'!$E66)*'Invoer - Uw woning'!$B49*(Uitgangspunten!$B$8/Uitgangspunten!$B$9)*24*365.25/1000/'Invoer - Uw woning'!$B$12,"")</f>
        <v/>
      </c>
      <c r="I19" s="56" t="str">
        <f>IF(H19&lt;&gt;"",H19*'Invoer - Uw woning'!$B$12/9.8,"")</f>
        <v/>
      </c>
      <c r="J19" s="57"/>
      <c r="K19" s="57"/>
    </row>
    <row r="20" spans="1:11" x14ac:dyDescent="0.25">
      <c r="A20" s="50" t="s">
        <v>32</v>
      </c>
      <c r="B20" s="51" t="str">
        <f>IF('Invoer - Uw woning'!$B67&lt;&gt;'Invoer - Uw woning'!$E67,IF('Invoer - Uw woning'!$B$92="Ja",Uitgangspunten!B41*'Invoer - Uw woning'!$B50+Uitgangspunten!B$44*'Invoer - Uw woning'!$B50,Uitgangspunten!B41*'Invoer - Uw woning'!$B50),"")</f>
        <v/>
      </c>
      <c r="C20" s="52" t="str">
        <f>IF('Invoer - Uw woning'!$B67&lt;&gt;'Invoer - Uw woning'!$E67,IF('Invoer - Uw woning'!$B$92="Ja",Uitgangspunten!C41*'Invoer - Uw woning'!$B50+Uitgangspunten!C$44*'Invoer - Uw woning'!$B50,Uitgangspunten!C41*'Invoer - Uw woning'!$B50),"")</f>
        <v/>
      </c>
      <c r="D20" s="53"/>
      <c r="E20" s="51" t="str">
        <f>IF('Invoer - Uw woning'!$B67&lt;&gt;'Invoer - Uw woning'!$E67,Uitgangspunten!$B65*'Invoer - Uw woning'!$B50,"")</f>
        <v/>
      </c>
      <c r="F20" s="52" t="str">
        <f>IF('Invoer - Uw woning'!$B67&lt;&gt;'Invoer - Uw woning'!$E67,Uitgangspunten!$C65*'Invoer - Uw woning'!$B50,"")</f>
        <v/>
      </c>
      <c r="G20" s="54"/>
      <c r="H20" s="55" t="str">
        <f>IF('Invoer - Uw woning'!$B67&lt;&gt;'Invoer - Uw woning'!$E67,('Invoer - Uw woning'!$B67)*'Invoer - Uw woning'!$B50*(Uitgangspunten!$B$8/Uitgangspunten!$B$9)*24*365.25/1000/'Invoer - Uw woning'!$B$12-('Invoer - Uw woning'!$E67)*'Invoer - Uw woning'!$B50*(Uitgangspunten!$B$8/Uitgangspunten!$B$9)*24*365.25/1000/'Invoer - Uw woning'!$B$12,"")</f>
        <v/>
      </c>
      <c r="I20" s="56" t="str">
        <f>IF(H20&lt;&gt;"",H20*'Invoer - Uw woning'!$B$12/9.8,"")</f>
        <v/>
      </c>
    </row>
    <row r="21" spans="1:11" x14ac:dyDescent="0.25">
      <c r="A21" s="50" t="s">
        <v>31</v>
      </c>
      <c r="B21" s="51" t="str">
        <f>IF('Invoer - Uw woning'!$B68&lt;&gt;'Invoer - Uw woning'!$E68,IF('Invoer - Uw woning'!$B$92="Ja",Uitgangspunten!B42*'Invoer - Uw woning'!$B51+Uitgangspunten!B$44*'Invoer - Uw woning'!$B51,Uitgangspunten!B42*'Invoer - Uw woning'!$B51),"")</f>
        <v/>
      </c>
      <c r="C21" s="52" t="str">
        <f>IF('Invoer - Uw woning'!$B68&lt;&gt;'Invoer - Uw woning'!$E68,IF('Invoer - Uw woning'!$B$92="Ja",Uitgangspunten!C42*'Invoer - Uw woning'!$B51+Uitgangspunten!C$44*'Invoer - Uw woning'!$B51,Uitgangspunten!C42*'Invoer - Uw woning'!$B51),"")</f>
        <v/>
      </c>
      <c r="D21" s="53"/>
      <c r="E21" s="51" t="str">
        <f>IF('Invoer - Uw woning'!$B68&lt;&gt;'Invoer - Uw woning'!$E68,Uitgangspunten!$B66*'Invoer - Uw woning'!$B51,"")</f>
        <v/>
      </c>
      <c r="F21" s="52" t="str">
        <f>IF('Invoer - Uw woning'!$B68&lt;&gt;'Invoer - Uw woning'!$E68,Uitgangspunten!$C66*'Invoer - Uw woning'!$B51,"")</f>
        <v/>
      </c>
      <c r="G21" s="54"/>
      <c r="H21" s="55" t="str">
        <f>IF('Invoer - Uw woning'!$B68&lt;&gt;'Invoer - Uw woning'!$E68,('Invoer - Uw woning'!$B68)*'Invoer - Uw woning'!$B51*(Uitgangspunten!$B$8/Uitgangspunten!$B$9)*24*365.25/1000/'Invoer - Uw woning'!$B$12-('Invoer - Uw woning'!$E68)*'Invoer - Uw woning'!$B51*(Uitgangspunten!$B$8/Uitgangspunten!$B$9)*24*365.25/1000/'Invoer - Uw woning'!$B$12,"")</f>
        <v/>
      </c>
      <c r="I21" s="56" t="str">
        <f>IF(H21&lt;&gt;"",H21*'Invoer - Uw woning'!$B$12/9.8,"")</f>
        <v/>
      </c>
    </row>
    <row r="22" spans="1:11" x14ac:dyDescent="0.25">
      <c r="A22" s="50" t="s">
        <v>60</v>
      </c>
      <c r="B22" s="51" t="str">
        <f>IF('Invoer - Uw woning'!$B69&lt;&gt;'Invoer - Uw woning'!$E69,IF('Invoer - Uw woning'!$B$92="Ja",Uitgangspunten!B43+Uitgangspunten!B$44,Uitgangspunten!B43),"")</f>
        <v/>
      </c>
      <c r="C22" s="52" t="str">
        <f>IF('Invoer - Uw woning'!$B69&lt;&gt;'Invoer - Uw woning'!$E69,IF('Invoer - Uw woning'!$B$92="Ja",Uitgangspunten!C43+Uitgangspunten!C$44,Uitgangspunten!C43),"")</f>
        <v/>
      </c>
      <c r="D22" s="53"/>
      <c r="E22" s="51" t="str">
        <f>IF('Invoer - Uw woning'!$B69&lt;&gt;'Invoer - Uw woning'!$E69,Uitgangspunten!$B67*'Invoer - Uw woning'!$B52,"")</f>
        <v/>
      </c>
      <c r="F22" s="52" t="str">
        <f>IF('Invoer - Uw woning'!$B69&lt;&gt;'Invoer - Uw woning'!$E69,Uitgangspunten!$C67*'Invoer - Uw woning'!$B52,"")</f>
        <v/>
      </c>
      <c r="G22" s="54"/>
      <c r="H22" s="55" t="str">
        <f>IF('Invoer - Uw woning'!$B69&lt;&gt;'Invoer - Uw woning'!$E69,('Invoer - Uw woning'!$B69)*'Invoer - Uw woning'!$B52*(Uitgangspunten!$B$8/Uitgangspunten!$B$9)*24*365.25/1000/'Invoer - Uw woning'!$B$12-('Invoer - Uw woning'!$E69)*'Invoer - Uw woning'!$B52*(Uitgangspunten!$B$8/Uitgangspunten!$B$9)*24*365.25/1000/'Invoer - Uw woning'!$B$12,"")</f>
        <v/>
      </c>
      <c r="I22" s="56" t="str">
        <f>IF(H22&lt;&gt;"",H22*'Invoer - Uw woning'!$B$12/9.8,"")</f>
        <v/>
      </c>
    </row>
    <row r="23" spans="1:11" x14ac:dyDescent="0.25">
      <c r="A23" s="50" t="s">
        <v>61</v>
      </c>
      <c r="B23" s="51" t="str">
        <f>IF('Invoer - Uw woning'!$B70&lt;&gt;'Invoer - Uw woning'!$E70,IF('Invoer - Uw woning'!$B$92="Ja",Uitgangspunten!B44+Uitgangspunten!B$44,Uitgangspunten!B44),"")</f>
        <v/>
      </c>
      <c r="C23" s="52" t="str">
        <f>IF('Invoer - Uw woning'!$B70&lt;&gt;'Invoer - Uw woning'!$E70,IF('Invoer - Uw woning'!$B$92="Ja",Uitgangspunten!C44+Uitgangspunten!C$44,Uitgangspunten!C44),"")</f>
        <v/>
      </c>
      <c r="D23" s="53"/>
      <c r="E23" s="51" t="str">
        <f>IF('Invoer - Uw woning'!$B70&lt;&gt;'Invoer - Uw woning'!$E70,Uitgangspunten!$B68*'Invoer - Uw woning'!$B53,"")</f>
        <v/>
      </c>
      <c r="F23" s="52" t="str">
        <f>IF('Invoer - Uw woning'!$B70&lt;&gt;'Invoer - Uw woning'!$E70,Uitgangspunten!$C68*'Invoer - Uw woning'!$B53,"")</f>
        <v/>
      </c>
      <c r="G23" s="54"/>
      <c r="H23" s="55" t="str">
        <f>IF('Invoer - Uw woning'!$B70&lt;&gt;'Invoer - Uw woning'!$E70,('Invoer - Uw woning'!$B70)*'Invoer - Uw woning'!$B53*(Uitgangspunten!$B$8/Uitgangspunten!$B$9)*24*365.25/1000/'Invoer - Uw woning'!$B$12-('Invoer - Uw woning'!$E70)*'Invoer - Uw woning'!$B53*(Uitgangspunten!$B$8/Uitgangspunten!$B$9)*24*365.25/1000/'Invoer - Uw woning'!$B$12,"")</f>
        <v/>
      </c>
      <c r="I23" s="56" t="str">
        <f>IF(H23&lt;&gt;"",H23*'Invoer - Uw woning'!$B$12/9.8,"")</f>
        <v/>
      </c>
    </row>
    <row r="24" spans="1:11" x14ac:dyDescent="0.25">
      <c r="A24" s="50" t="s">
        <v>62</v>
      </c>
      <c r="B24" s="51" t="str">
        <f>IF('Invoer - Uw woning'!$B71&lt;&gt;'Invoer - Uw woning'!$E71,IF('Invoer - Uw woning'!$B$92="Ja",Uitgangspunten!B45+Uitgangspunten!B$44,Uitgangspunten!B45),"")</f>
        <v/>
      </c>
      <c r="C24" s="52" t="str">
        <f>IF('Invoer - Uw woning'!$B71&lt;&gt;'Invoer - Uw woning'!$E71,IF('Invoer - Uw woning'!$B$92="Ja",Uitgangspunten!C45+Uitgangspunten!C$44,Uitgangspunten!C45),"")</f>
        <v/>
      </c>
      <c r="D24" s="53"/>
      <c r="E24" s="51" t="str">
        <f>IF('Invoer - Uw woning'!$B71&lt;&gt;'Invoer - Uw woning'!$E71,Uitgangspunten!$B69*'Invoer - Uw woning'!$B54,"")</f>
        <v/>
      </c>
      <c r="F24" s="52" t="str">
        <f>IF('Invoer - Uw woning'!$B71&lt;&gt;'Invoer - Uw woning'!$E71,Uitgangspunten!$C69*'Invoer - Uw woning'!$B54,"")</f>
        <v/>
      </c>
      <c r="G24" s="54"/>
      <c r="H24" s="55" t="str">
        <f>IF('Invoer - Uw woning'!$B71&lt;&gt;'Invoer - Uw woning'!$E71,('Invoer - Uw woning'!$B71)*'Invoer - Uw woning'!$B54*(Uitgangspunten!$B$8/Uitgangspunten!$B$9)*24*365.25/1000/'Invoer - Uw woning'!$B$12-('Invoer - Uw woning'!$E71)*'Invoer - Uw woning'!$B54*(Uitgangspunten!$B$8/Uitgangspunten!$B$9)*24*365.25/1000/'Invoer - Uw woning'!$B$12,"")</f>
        <v/>
      </c>
      <c r="I24" s="56" t="str">
        <f>IF(H24&lt;&gt;"",H24*'Invoer - Uw woning'!$B$12/9.8,"")</f>
        <v/>
      </c>
    </row>
    <row r="25" spans="1:11" ht="15.75" thickBot="1" x14ac:dyDescent="0.3">
      <c r="A25" s="58" t="s">
        <v>70</v>
      </c>
      <c r="B25" s="59" t="str">
        <f>IF('Invoer - Uw woning'!B11&lt;&gt;"",Uitgangspunten!B45,"")</f>
        <v/>
      </c>
      <c r="C25" s="60" t="str">
        <f>IF('Invoer - Uw woning'!B11&lt;&gt;"",Uitgangspunten!C45,"")</f>
        <v/>
      </c>
      <c r="D25" s="61"/>
      <c r="E25" s="59" t="str">
        <f>IF(B25&lt;&gt;"",0,"")</f>
        <v/>
      </c>
      <c r="F25" s="60" t="str">
        <f>IF(C25&lt;&gt;"",0,"")</f>
        <v/>
      </c>
      <c r="G25" s="62"/>
      <c r="H25" s="63" t="str">
        <f>IF(B25&lt;&gt;"",Uitgangspunten!B21*'Invoer - Uw woning'!B23*'Invoer - Uw woning'!B93*Uitgangspunten!B22,"")</f>
        <v/>
      </c>
      <c r="I25" s="64" t="str">
        <f>IF(H25&lt;&gt;"",H25*'Invoer - Uw woning'!$B$12/9.8,"")</f>
        <v/>
      </c>
    </row>
    <row r="26" spans="1:11" s="42" customFormat="1" ht="16.5" thickTop="1" thickBot="1" x14ac:dyDescent="0.3">
      <c r="A26" s="65" t="s">
        <v>6</v>
      </c>
      <c r="B26" s="66">
        <f t="shared" ref="B26:F26" si="0">SUM(B14:B25)</f>
        <v>0</v>
      </c>
      <c r="C26" s="67">
        <f t="shared" si="0"/>
        <v>0</v>
      </c>
      <c r="D26" s="68"/>
      <c r="E26" s="66">
        <f t="shared" si="0"/>
        <v>0</v>
      </c>
      <c r="F26" s="67">
        <f t="shared" si="0"/>
        <v>0</v>
      </c>
      <c r="G26" s="69"/>
      <c r="H26" s="70">
        <f>SUM(H14:H25)</f>
        <v>0</v>
      </c>
      <c r="I26" s="71">
        <f>SUM(I14:I25)</f>
        <v>0</v>
      </c>
    </row>
    <row r="27" spans="1:11" ht="15.75" thickTop="1" x14ac:dyDescent="0.25"/>
    <row r="28" spans="1:11" x14ac:dyDescent="0.25">
      <c r="A28" s="32" t="s">
        <v>66</v>
      </c>
      <c r="B28" s="32" t="str">
        <f>IF('Invoer - Uw woning'!B11&lt;&gt;"",'Invoer - Uw woning'!B23,"")</f>
        <v/>
      </c>
    </row>
    <row r="29" spans="1:11" x14ac:dyDescent="0.25">
      <c r="A29" s="32" t="s">
        <v>68</v>
      </c>
      <c r="B29" s="32" t="str">
        <f>'Invoer - Uw woning'!B24</f>
        <v/>
      </c>
    </row>
    <row r="30" spans="1:11" x14ac:dyDescent="0.25">
      <c r="A30" s="32" t="s">
        <v>69</v>
      </c>
      <c r="B30" s="32" t="str">
        <f>'Invoer - Uw woning'!B25</f>
        <v/>
      </c>
    </row>
    <row r="31" spans="1:11" x14ac:dyDescent="0.25">
      <c r="A31" s="42" t="s">
        <v>67</v>
      </c>
      <c r="B31" s="72" t="str">
        <f>IFERROR(B28-H26,"")</f>
        <v/>
      </c>
    </row>
    <row r="35" spans="5:6" x14ac:dyDescent="0.25">
      <c r="E35" s="73"/>
      <c r="F35" s="73"/>
    </row>
    <row r="36" spans="5:6" x14ac:dyDescent="0.25">
      <c r="E36" s="73"/>
      <c r="F36" s="73"/>
    </row>
  </sheetData>
  <sheetProtection algorithmName="SHA-512" hashValue="Y92iuFM8inuHfGOc2u2eYr9/bK54MLrwx/r7NQHpdevSAfZSr7cNaG3En1c6OU+kz4u9yK3ZEEH822Zfv7+yvQ==" saltValue="mDRWZvVwykTBnT9JqVKVmQ==" spinCount="100000" sheet="1" objects="1" scenarios="1"/>
  <mergeCells count="3">
    <mergeCell ref="B12:C12"/>
    <mergeCell ref="E12:F12"/>
    <mergeCell ref="H12:I12"/>
  </mergeCells>
  <conditionalFormatting sqref="B29">
    <cfRule type="expression" dxfId="5" priority="1" stopIfTrue="1">
      <formula>AND($B$29&gt;=$B$31)</formula>
    </cfRule>
    <cfRule type="expression" dxfId="4" priority="2" stopIfTrue="1">
      <formula>AND(($B$29+$B$29*0.1)&gt;=$B$31)</formula>
    </cfRule>
    <cfRule type="expression" dxfId="3" priority="3" stopIfTrue="1">
      <formula>AND(($B$29+$B$29*0.1)&lt;$B$31)</formula>
    </cfRule>
  </conditionalFormatting>
  <conditionalFormatting sqref="B30">
    <cfRule type="expression" dxfId="2" priority="4" stopIfTrue="1">
      <formula>AND($B$30&gt;=$B$31)</formula>
    </cfRule>
    <cfRule type="expression" dxfId="1" priority="5" stopIfTrue="1">
      <formula>AND(($B$30+$B$30*0.1)&gt;=$B$31)</formula>
    </cfRule>
    <cfRule type="expression" dxfId="0" priority="6" stopIfTrue="1">
      <formula>AND(($B$30+$B$30*0.1)&lt;$B$31)</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C47E-B11C-46E1-9247-3DAB6C71DE1E}">
  <sheetPr codeName="Blad5"/>
  <dimension ref="A1:C5"/>
  <sheetViews>
    <sheetView workbookViewId="0">
      <selection sqref="A1:XFD1048576"/>
    </sheetView>
  </sheetViews>
  <sheetFormatPr defaultRowHeight="15" x14ac:dyDescent="0.25"/>
  <cols>
    <col min="1" max="1" width="20" customWidth="1"/>
  </cols>
  <sheetData>
    <row r="1" spans="1:3" x14ac:dyDescent="0.25">
      <c r="A1" t="s">
        <v>79</v>
      </c>
      <c r="C1" t="s">
        <v>81</v>
      </c>
    </row>
    <row r="2" spans="1:3" x14ac:dyDescent="0.25">
      <c r="A2" t="s">
        <v>80</v>
      </c>
      <c r="C2" t="s">
        <v>46</v>
      </c>
    </row>
    <row r="3" spans="1:3" x14ac:dyDescent="0.25">
      <c r="A3" t="s">
        <v>77</v>
      </c>
      <c r="C3" t="s">
        <v>47</v>
      </c>
    </row>
    <row r="4" spans="1:3" x14ac:dyDescent="0.25">
      <c r="A4" t="s">
        <v>5</v>
      </c>
    </row>
    <row r="5" spans="1:3" x14ac:dyDescent="0.25">
      <c r="A5" t="s">
        <v>78</v>
      </c>
    </row>
  </sheetData>
  <sheetProtection algorithmName="SHA-512" hashValue="QVuwvBozdeeLXgRUeB63lZGJLBjtjd30jCExr04ME/qg3yogUnhfYYKJD5Xv3jlUO3M4WM/pl4Vyk9iX5q1KUw==" saltValue="iTAnEdNx1dICGqvZ8uWi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Uitgangspunten</vt:lpstr>
      <vt:lpstr>Rekenhulp</vt:lpstr>
      <vt:lpstr>Invoer - Damhertlaan</vt:lpstr>
      <vt:lpstr>Uitvoer - Damhertlaan</vt:lpstr>
      <vt:lpstr>Invoer - Vossenkamp</vt:lpstr>
      <vt:lpstr>Uitvoer - Vossenkamp</vt:lpstr>
      <vt:lpstr>Invoer - Uw woning</vt:lpstr>
      <vt:lpstr>Uitvoer - Uw woning</vt:lpstr>
    </vt:vector>
  </TitlesOfParts>
  <Company>RID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Heilmann</dc:creator>
  <cp:lastModifiedBy>Linda Heilmann</cp:lastModifiedBy>
  <dcterms:created xsi:type="dcterms:W3CDTF">2024-03-05T14:02:48Z</dcterms:created>
  <dcterms:modified xsi:type="dcterms:W3CDTF">2024-03-17T13:20:57Z</dcterms:modified>
</cp:coreProperties>
</file>